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hierry\Documents\Dossiers en cours 2026\Dorlotin\"/>
    </mc:Choice>
  </mc:AlternateContent>
  <xr:revisionPtr revIDLastSave="0" documentId="13_ncr:1_{1468F16D-B3BC-40D0-806B-58EEC887A7E1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Plan de financement_input immo " sheetId="1" r:id="rId1"/>
    <sheet name="Etat locatif prévi" sheetId="2" r:id="rId2"/>
    <sheet name="Analyse loyer triennalité 1 à 6" sheetId="3" r:id="rId3"/>
    <sheet name="Echéancier St Loup Naud" sheetId="9" r:id="rId4"/>
    <sheet name="Plus-value 15 ans " sheetId="5" r:id="rId5"/>
    <sheet name="Plus-value 10 ans" sheetId="6" r:id="rId6"/>
    <sheet name="Plus-value 5 ans" sheetId="7" r:id="rId7"/>
    <sheet name="TRI " sheetId="8" r:id="rId8"/>
  </sheets>
  <definedNames>
    <definedName name="EX" localSheetId="2">#REF!</definedName>
    <definedName name="EX" localSheetId="1">#REF!</definedName>
    <definedName name="EX">#REF!</definedName>
    <definedName name="juil_05" localSheetId="2">#REF!</definedName>
    <definedName name="juil_05">#REF!</definedName>
    <definedName name="juill_19" localSheetId="2">#REF!</definedName>
    <definedName name="juill_19">#REF!</definedName>
    <definedName name="ListeST" localSheetId="2">#REF!</definedName>
    <definedName name="ListeST">#REF!</definedName>
    <definedName name="ListeST1" localSheetId="2">#REF!</definedName>
    <definedName name="ListeST1">#REF!</definedName>
    <definedName name="toto" localSheetId="2">#REF!</definedName>
    <definedName name="toto">#REF!</definedName>
    <definedName name="x">#REF!</definedName>
    <definedName name="xxx" localSheetId="2">#REF!</definedName>
    <definedName name="xxx">#REF!</definedName>
    <definedName name="_xlnm.Print_Area" localSheetId="1">'Etat locatif prévi'!$A$1:$U$31</definedName>
    <definedName name="_xlnm.Print_Area" localSheetId="0">'Plan de financement_input immo '!$A$1:$G$60</definedName>
    <definedName name="_xlnm.Print_Area" localSheetId="6">'Plus-value 5 ans'!$A$1:$B$8</definedName>
    <definedName name="_xlnm.Print_Area" localSheetId="7">'TRI '!$A$1:$N$23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E57" i="3" l="1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M38" i="3"/>
  <c r="BN38" i="3"/>
  <c r="BN53" i="3" s="1"/>
  <c r="BO38" i="3"/>
  <c r="BP38" i="3"/>
  <c r="BP53" i="3" s="1"/>
  <c r="BQ38" i="3"/>
  <c r="BQ53" i="3" s="1"/>
  <c r="BQ58" i="3" s="1"/>
  <c r="BQ74" i="3" s="1"/>
  <c r="BR38" i="3"/>
  <c r="BR53" i="3" s="1"/>
  <c r="BS38" i="3"/>
  <c r="BS53" i="3" s="1"/>
  <c r="BT38" i="3"/>
  <c r="BT53" i="3" s="1"/>
  <c r="BM55" i="3"/>
  <c r="BQ55" i="3" s="1"/>
  <c r="BP54" i="3"/>
  <c r="BT54" i="3"/>
  <c r="BM53" i="3"/>
  <c r="BO53" i="3"/>
  <c r="BM52" i="3"/>
  <c r="BN52" i="3"/>
  <c r="BO52" i="3"/>
  <c r="BP52" i="3"/>
  <c r="BQ52" i="3"/>
  <c r="BR52" i="3"/>
  <c r="BS52" i="3"/>
  <c r="BT52" i="3"/>
  <c r="BM47" i="3"/>
  <c r="BN47" i="3"/>
  <c r="BO47" i="3"/>
  <c r="BP47" i="3"/>
  <c r="BQ47" i="3"/>
  <c r="BR47" i="3"/>
  <c r="BS47" i="3"/>
  <c r="BT47" i="3"/>
  <c r="BM46" i="3"/>
  <c r="BN46" i="3"/>
  <c r="BO46" i="3"/>
  <c r="BP46" i="3"/>
  <c r="BQ46" i="3"/>
  <c r="BR46" i="3"/>
  <c r="BS46" i="3"/>
  <c r="BT46" i="3"/>
  <c r="BO44" i="3"/>
  <c r="BM43" i="3"/>
  <c r="BN43" i="3"/>
  <c r="BO43" i="3"/>
  <c r="BP43" i="3"/>
  <c r="BQ43" i="3"/>
  <c r="BQ73" i="3" s="1"/>
  <c r="BR43" i="3"/>
  <c r="BR73" i="3" s="1"/>
  <c r="BS43" i="3"/>
  <c r="BS73" i="3" s="1"/>
  <c r="BT43" i="3"/>
  <c r="BT73" i="3" s="1"/>
  <c r="BM42" i="3"/>
  <c r="BO42" i="3"/>
  <c r="BP39" i="3"/>
  <c r="BT39" i="3"/>
  <c r="BM40" i="3"/>
  <c r="BN40" i="3"/>
  <c r="BO40" i="3"/>
  <c r="BP40" i="3"/>
  <c r="BQ40" i="3"/>
  <c r="BR40" i="3"/>
  <c r="BS40" i="3"/>
  <c r="BT40" i="3"/>
  <c r="BM30" i="3"/>
  <c r="BN30" i="3"/>
  <c r="BO30" i="3"/>
  <c r="BP30" i="3"/>
  <c r="BQ30" i="3"/>
  <c r="BR30" i="3"/>
  <c r="BS30" i="3"/>
  <c r="BT30" i="3"/>
  <c r="BM29" i="3"/>
  <c r="BN29" i="3"/>
  <c r="BO29" i="3"/>
  <c r="BP29" i="3"/>
  <c r="BQ29" i="3"/>
  <c r="BR29" i="3"/>
  <c r="BS29" i="3"/>
  <c r="BT29" i="3"/>
  <c r="BM28" i="3"/>
  <c r="BN28" i="3" s="1"/>
  <c r="BO28" i="3" s="1"/>
  <c r="BP28" i="3" s="1"/>
  <c r="BQ28" i="3" s="1"/>
  <c r="BR28" i="3" s="1"/>
  <c r="BS28" i="3" s="1"/>
  <c r="BT28" i="3" s="1"/>
  <c r="BM27" i="3"/>
  <c r="BN27" i="3"/>
  <c r="BO27" i="3"/>
  <c r="BP27" i="3"/>
  <c r="BQ27" i="3"/>
  <c r="BR27" i="3"/>
  <c r="BS27" i="3"/>
  <c r="BT27" i="3"/>
  <c r="BM20" i="3"/>
  <c r="BN20" i="3" s="1"/>
  <c r="BO20" i="3" s="1"/>
  <c r="BP20" i="3" s="1"/>
  <c r="BQ20" i="3" s="1"/>
  <c r="BR20" i="3" s="1"/>
  <c r="BS20" i="3" s="1"/>
  <c r="BT20" i="3" s="1"/>
  <c r="BM19" i="3"/>
  <c r="BQ19" i="3" s="1"/>
  <c r="BN19" i="3"/>
  <c r="BO19" i="3"/>
  <c r="BP19" i="3"/>
  <c r="BR19" i="3"/>
  <c r="BS19" i="3"/>
  <c r="BT19" i="3"/>
  <c r="BM18" i="3"/>
  <c r="BP18" i="3" s="1"/>
  <c r="BN18" i="3"/>
  <c r="BQ18" i="3" s="1"/>
  <c r="BO18" i="3"/>
  <c r="BR18" i="3" s="1"/>
  <c r="B23" i="6"/>
  <c r="B23" i="7"/>
  <c r="B25" i="7" s="1"/>
  <c r="N20" i="8" s="1"/>
  <c r="BM73" i="3"/>
  <c r="BN73" i="3"/>
  <c r="BO73" i="3"/>
  <c r="BP73" i="3"/>
  <c r="BP62" i="3"/>
  <c r="BT62" i="3"/>
  <c r="BM13" i="3"/>
  <c r="BQ13" i="3"/>
  <c r="BM12" i="3"/>
  <c r="BQ12" i="3"/>
  <c r="B5" i="8"/>
  <c r="B22" i="7"/>
  <c r="B21" i="7"/>
  <c r="B16" i="7"/>
  <c r="B18" i="7" s="1"/>
  <c r="B15" i="7"/>
  <c r="B17" i="7" s="1"/>
  <c r="B10" i="7"/>
  <c r="B9" i="7"/>
  <c r="B11" i="7" s="1"/>
  <c r="B19" i="7" s="1"/>
  <c r="B8" i="7"/>
  <c r="B7" i="7"/>
  <c r="B6" i="7"/>
  <c r="B5" i="7"/>
  <c r="B4" i="7"/>
  <c r="B3" i="7"/>
  <c r="B2" i="7"/>
  <c r="B19" i="6"/>
  <c r="B18" i="6"/>
  <c r="B17" i="5"/>
  <c r="B11" i="5"/>
  <c r="B19" i="5" s="1"/>
  <c r="B17" i="6"/>
  <c r="B25" i="6"/>
  <c r="I20" i="8" s="1"/>
  <c r="B22" i="6"/>
  <c r="B21" i="6"/>
  <c r="B16" i="6"/>
  <c r="B15" i="6"/>
  <c r="B10" i="6"/>
  <c r="B9" i="6"/>
  <c r="B11" i="6" s="1"/>
  <c r="B8" i="6"/>
  <c r="B7" i="6"/>
  <c r="B6" i="6"/>
  <c r="B5" i="6"/>
  <c r="B4" i="6"/>
  <c r="B3" i="6"/>
  <c r="B2" i="6"/>
  <c r="B18" i="5"/>
  <c r="B16" i="5"/>
  <c r="B15" i="5"/>
  <c r="B2" i="5"/>
  <c r="B10" i="5"/>
  <c r="B9" i="5"/>
  <c r="B7" i="5"/>
  <c r="B6" i="5"/>
  <c r="B5" i="5"/>
  <c r="B4" i="5"/>
  <c r="B3" i="5"/>
  <c r="B8" i="5"/>
  <c r="D23" i="9"/>
  <c r="M66" i="3" s="1"/>
  <c r="L3" i="9"/>
  <c r="AR66" i="3"/>
  <c r="AQ66" i="3"/>
  <c r="AP66" i="3"/>
  <c r="AO66" i="3"/>
  <c r="AN66" i="3"/>
  <c r="AM66" i="3"/>
  <c r="AL66" i="3"/>
  <c r="AK66" i="3"/>
  <c r="AJ66" i="3"/>
  <c r="AI66" i="3"/>
  <c r="AH66" i="3"/>
  <c r="AG66" i="3"/>
  <c r="AL65" i="3"/>
  <c r="AK65" i="3"/>
  <c r="AJ65" i="3"/>
  <c r="AI65" i="3"/>
  <c r="AH65" i="3"/>
  <c r="AG65" i="3"/>
  <c r="D22" i="9"/>
  <c r="B21" i="9"/>
  <c r="B12" i="1"/>
  <c r="L64" i="3"/>
  <c r="K64" i="3"/>
  <c r="J64" i="3"/>
  <c r="I64" i="3"/>
  <c r="H64" i="3"/>
  <c r="G64" i="3"/>
  <c r="F64" i="3"/>
  <c r="L63" i="3"/>
  <c r="K63" i="3"/>
  <c r="J63" i="3"/>
  <c r="I63" i="3"/>
  <c r="H63" i="3"/>
  <c r="G63" i="3"/>
  <c r="F63" i="3"/>
  <c r="E64" i="3"/>
  <c r="K9" i="9"/>
  <c r="J9" i="9"/>
  <c r="I9" i="9"/>
  <c r="H9" i="9"/>
  <c r="G9" i="9"/>
  <c r="F9" i="9"/>
  <c r="E9" i="9"/>
  <c r="B22" i="1"/>
  <c r="A2" i="2"/>
  <c r="D11" i="1"/>
  <c r="D10" i="1"/>
  <c r="P4" i="9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AH4" i="9" s="1"/>
  <c r="AI4" i="9" s="1"/>
  <c r="AJ4" i="9" s="1"/>
  <c r="AK4" i="9" s="1"/>
  <c r="AL4" i="9" s="1"/>
  <c r="AM4" i="9" s="1"/>
  <c r="AN4" i="9" s="1"/>
  <c r="AO4" i="9" s="1"/>
  <c r="AP4" i="9" s="1"/>
  <c r="AQ4" i="9" s="1"/>
  <c r="AR4" i="9" s="1"/>
  <c r="AS4" i="9" s="1"/>
  <c r="AT4" i="9" s="1"/>
  <c r="AU4" i="9" s="1"/>
  <c r="AV4" i="9" s="1"/>
  <c r="AW4" i="9" s="1"/>
  <c r="AX4" i="9" s="1"/>
  <c r="AY4" i="9" s="1"/>
  <c r="AZ4" i="9" s="1"/>
  <c r="BA4" i="9" s="1"/>
  <c r="BB4" i="9" s="1"/>
  <c r="BC4" i="9" s="1"/>
  <c r="BD4" i="9" s="1"/>
  <c r="BE4" i="9" s="1"/>
  <c r="BF4" i="9" s="1"/>
  <c r="BG4" i="9" s="1"/>
  <c r="BH4" i="9" s="1"/>
  <c r="BI4" i="9" s="1"/>
  <c r="BJ4" i="9" s="1"/>
  <c r="BK4" i="9" s="1"/>
  <c r="BL4" i="9" s="1"/>
  <c r="BM4" i="9" s="1"/>
  <c r="BN4" i="9" s="1"/>
  <c r="BO4" i="9" s="1"/>
  <c r="BP4" i="9" s="1"/>
  <c r="BQ4" i="9" s="1"/>
  <c r="BR4" i="9" s="1"/>
  <c r="BS4" i="9" s="1"/>
  <c r="BT4" i="9" s="1"/>
  <c r="BU4" i="9" s="1"/>
  <c r="BV4" i="9" s="1"/>
  <c r="BW4" i="9" s="1"/>
  <c r="E61" i="1"/>
  <c r="BP58" i="3" l="1"/>
  <c r="BP74" i="3" s="1"/>
  <c r="BQ59" i="3"/>
  <c r="BM44" i="3"/>
  <c r="BT42" i="3"/>
  <c r="BT44" i="3" s="1"/>
  <c r="BS42" i="3"/>
  <c r="BS44" i="3" s="1"/>
  <c r="BR42" i="3"/>
  <c r="BR44" i="3" s="1"/>
  <c r="BQ42" i="3"/>
  <c r="BQ44" i="3" s="1"/>
  <c r="BP42" i="3"/>
  <c r="BP44" i="3" s="1"/>
  <c r="BS58" i="3"/>
  <c r="BS74" i="3" s="1"/>
  <c r="BN42" i="3"/>
  <c r="BN44" i="3" s="1"/>
  <c r="BR58" i="3"/>
  <c r="BR74" i="3" s="1"/>
  <c r="BP59" i="3"/>
  <c r="BS59" i="3"/>
  <c r="BT58" i="3"/>
  <c r="BT74" i="3" s="1"/>
  <c r="BT75" i="3" s="1"/>
  <c r="BO58" i="3"/>
  <c r="BO74" i="3" s="1"/>
  <c r="BO75" i="3" s="1"/>
  <c r="BN58" i="3"/>
  <c r="BN74" i="3" s="1"/>
  <c r="BN75" i="3" s="1"/>
  <c r="BS75" i="3"/>
  <c r="BM58" i="3"/>
  <c r="BM74" i="3" s="1"/>
  <c r="BM75" i="3" s="1"/>
  <c r="BR75" i="3"/>
  <c r="BQ75" i="3"/>
  <c r="BP75" i="3"/>
  <c r="BR17" i="3"/>
  <c r="BT18" i="3"/>
  <c r="BT17" i="3" s="1"/>
  <c r="BQ17" i="3"/>
  <c r="BS18" i="3"/>
  <c r="BS17" i="3" s="1"/>
  <c r="BP17" i="3"/>
  <c r="BO17" i="3"/>
  <c r="BN17" i="3"/>
  <c r="BM17" i="3"/>
  <c r="B26" i="7"/>
  <c r="B28" i="7" s="1"/>
  <c r="B26" i="6"/>
  <c r="B28" i="6" s="1"/>
  <c r="C31" i="9"/>
  <c r="C32" i="9" s="1"/>
  <c r="W26" i="9"/>
  <c r="W28" i="9" s="1"/>
  <c r="V26" i="9"/>
  <c r="V28" i="9" s="1"/>
  <c r="U26" i="9"/>
  <c r="U28" i="9" s="1"/>
  <c r="T26" i="9"/>
  <c r="T28" i="9" s="1"/>
  <c r="S26" i="9"/>
  <c r="S28" i="9" s="1"/>
  <c r="R26" i="9"/>
  <c r="R28" i="9" s="1"/>
  <c r="Q26" i="9"/>
  <c r="Q28" i="9" s="1"/>
  <c r="P26" i="9"/>
  <c r="P28" i="9" s="1"/>
  <c r="O26" i="9"/>
  <c r="O28" i="9" s="1"/>
  <c r="N26" i="9"/>
  <c r="N28" i="9" s="1"/>
  <c r="M26" i="9"/>
  <c r="M28" i="9" s="1"/>
  <c r="L26" i="9"/>
  <c r="K26" i="9"/>
  <c r="K28" i="9" s="1"/>
  <c r="J26" i="9"/>
  <c r="J28" i="9" s="1"/>
  <c r="I26" i="9"/>
  <c r="I28" i="9" s="1"/>
  <c r="H26" i="9"/>
  <c r="H28" i="9" s="1"/>
  <c r="G26" i="9"/>
  <c r="G28" i="9" s="1"/>
  <c r="F26" i="9"/>
  <c r="F28" i="9" s="1"/>
  <c r="E26" i="9"/>
  <c r="E28" i="9" s="1"/>
  <c r="D26" i="9"/>
  <c r="L28" i="9" s="1"/>
  <c r="D25" i="9"/>
  <c r="M65" i="3" s="1"/>
  <c r="E21" i="9"/>
  <c r="C14" i="9"/>
  <c r="C15" i="9" s="1"/>
  <c r="E4" i="9"/>
  <c r="F4" i="9" s="1"/>
  <c r="D3" i="9"/>
  <c r="B23" i="5" l="1"/>
  <c r="B25" i="5" s="1"/>
  <c r="BR59" i="3"/>
  <c r="BM59" i="3"/>
  <c r="BN59" i="3"/>
  <c r="BT59" i="3"/>
  <c r="BO59" i="3"/>
  <c r="S29" i="9"/>
  <c r="E3" i="9"/>
  <c r="F3" i="9" s="1"/>
  <c r="G3" i="9" s="1"/>
  <c r="H3" i="9" s="1"/>
  <c r="I3" i="9" s="1"/>
  <c r="J3" i="9" s="1"/>
  <c r="K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AF3" i="9" s="1"/>
  <c r="AG3" i="9" s="1"/>
  <c r="AH3" i="9" s="1"/>
  <c r="AI3" i="9" s="1"/>
  <c r="AJ3" i="9" s="1"/>
  <c r="AK3" i="9" s="1"/>
  <c r="AL3" i="9" s="1"/>
  <c r="AM3" i="9" s="1"/>
  <c r="AN3" i="9" s="1"/>
  <c r="AO3" i="9" s="1"/>
  <c r="AP3" i="9" s="1"/>
  <c r="AQ3" i="9" s="1"/>
  <c r="AR3" i="9" s="1"/>
  <c r="AS3" i="9" s="1"/>
  <c r="AT3" i="9" s="1"/>
  <c r="AU3" i="9" s="1"/>
  <c r="AV3" i="9" s="1"/>
  <c r="AW3" i="9" s="1"/>
  <c r="AX3" i="9" s="1"/>
  <c r="AY3" i="9" s="1"/>
  <c r="AZ3" i="9" s="1"/>
  <c r="BA3" i="9" s="1"/>
  <c r="BB3" i="9" s="1"/>
  <c r="BC3" i="9" s="1"/>
  <c r="BD3" i="9" s="1"/>
  <c r="BE3" i="9" s="1"/>
  <c r="BF3" i="9" s="1"/>
  <c r="BG3" i="9" s="1"/>
  <c r="BH3" i="9" s="1"/>
  <c r="BI3" i="9" s="1"/>
  <c r="BJ3" i="9" s="1"/>
  <c r="BK3" i="9" s="1"/>
  <c r="BL3" i="9" s="1"/>
  <c r="BM3" i="9" s="1"/>
  <c r="BN3" i="9" s="1"/>
  <c r="BO3" i="9" s="1"/>
  <c r="BP3" i="9" s="1"/>
  <c r="BQ3" i="9" s="1"/>
  <c r="BR3" i="9" s="1"/>
  <c r="BS3" i="9" s="1"/>
  <c r="BT3" i="9" s="1"/>
  <c r="BU3" i="9" s="1"/>
  <c r="BV3" i="9" s="1"/>
  <c r="BW3" i="9" s="1"/>
  <c r="D20" i="9"/>
  <c r="E20" i="9" s="1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E25" i="9"/>
  <c r="N65" i="3" s="1"/>
  <c r="E23" i="9"/>
  <c r="N66" i="3" s="1"/>
  <c r="D28" i="9"/>
  <c r="G29" i="9" s="1"/>
  <c r="D24" i="9"/>
  <c r="O29" i="9"/>
  <c r="W29" i="9"/>
  <c r="F21" i="9"/>
  <c r="G4" i="9"/>
  <c r="K29" i="9"/>
  <c r="D20" i="8" l="1"/>
  <c r="B26" i="5"/>
  <c r="B28" i="5" s="1"/>
  <c r="G31" i="9"/>
  <c r="G21" i="9"/>
  <c r="F23" i="9"/>
  <c r="O66" i="3" s="1"/>
  <c r="F25" i="9"/>
  <c r="O65" i="3" s="1"/>
  <c r="E22" i="9"/>
  <c r="E24" i="9" s="1"/>
  <c r="F22" i="9" s="1"/>
  <c r="H4" i="9"/>
  <c r="F24" i="9" l="1"/>
  <c r="H21" i="9"/>
  <c r="G23" i="9"/>
  <c r="P66" i="3" s="1"/>
  <c r="G25" i="9"/>
  <c r="P65" i="3" s="1"/>
  <c r="G22" i="9"/>
  <c r="G24" i="9" s="1"/>
  <c r="I4" i="9"/>
  <c r="I21" i="9" l="1"/>
  <c r="H25" i="9"/>
  <c r="Q65" i="3" s="1"/>
  <c r="H23" i="9"/>
  <c r="Q66" i="3" s="1"/>
  <c r="H22" i="9"/>
  <c r="H24" i="9" s="1"/>
  <c r="J4" i="9"/>
  <c r="J21" i="9" l="1"/>
  <c r="I23" i="9"/>
  <c r="R66" i="3" s="1"/>
  <c r="I25" i="9"/>
  <c r="R65" i="3" s="1"/>
  <c r="I22" i="9"/>
  <c r="K4" i="9"/>
  <c r="I24" i="9" l="1"/>
  <c r="J22" i="9" s="1"/>
  <c r="K21" i="9"/>
  <c r="J23" i="9"/>
  <c r="S66" i="3" s="1"/>
  <c r="J25" i="9"/>
  <c r="S65" i="3" s="1"/>
  <c r="J24" i="9" l="1"/>
  <c r="K22" i="9" s="1"/>
  <c r="L21" i="9"/>
  <c r="K25" i="9"/>
  <c r="T65" i="3" s="1"/>
  <c r="K23" i="9"/>
  <c r="K24" i="9" l="1"/>
  <c r="L22" i="9" s="1"/>
  <c r="T66" i="3"/>
  <c r="M21" i="9"/>
  <c r="L25" i="9"/>
  <c r="U65" i="3" s="1"/>
  <c r="L23" i="9"/>
  <c r="L24" i="9" l="1"/>
  <c r="M22" i="9" s="1"/>
  <c r="U66" i="3"/>
  <c r="N21" i="9"/>
  <c r="M25" i="9"/>
  <c r="V65" i="3" s="1"/>
  <c r="M23" i="9"/>
  <c r="M24" i="9" l="1"/>
  <c r="N22" i="9" s="1"/>
  <c r="V66" i="3"/>
  <c r="N23" i="9"/>
  <c r="N25" i="9"/>
  <c r="W65" i="3" s="1"/>
  <c r="O21" i="9"/>
  <c r="N24" i="9" l="1"/>
  <c r="O22" i="9" s="1"/>
  <c r="W66" i="3"/>
  <c r="O25" i="9"/>
  <c r="X65" i="3" s="1"/>
  <c r="O23" i="9"/>
  <c r="P21" i="9"/>
  <c r="O24" i="9" l="1"/>
  <c r="P22" i="9" s="1"/>
  <c r="X66" i="3"/>
  <c r="P25" i="9"/>
  <c r="Y65" i="3" s="1"/>
  <c r="P23" i="9"/>
  <c r="Q21" i="9"/>
  <c r="P24" i="9" l="1"/>
  <c r="Q22" i="9" s="1"/>
  <c r="Y66" i="3"/>
  <c r="Q23" i="9"/>
  <c r="Q25" i="9"/>
  <c r="Z65" i="3" s="1"/>
  <c r="R21" i="9"/>
  <c r="Q24" i="9" l="1"/>
  <c r="R22" i="9" s="1"/>
  <c r="Z66" i="3"/>
  <c r="R23" i="9"/>
  <c r="R25" i="9"/>
  <c r="AA65" i="3" s="1"/>
  <c r="S21" i="9"/>
  <c r="R24" i="9" l="1"/>
  <c r="S22" i="9" s="1"/>
  <c r="AA66" i="3"/>
  <c r="S23" i="9"/>
  <c r="S25" i="9"/>
  <c r="AB65" i="3" s="1"/>
  <c r="T21" i="9"/>
  <c r="S24" i="9" l="1"/>
  <c r="T22" i="9" s="1"/>
  <c r="AB66" i="3"/>
  <c r="T25" i="9"/>
  <c r="AC65" i="3" s="1"/>
  <c r="T23" i="9"/>
  <c r="U21" i="9"/>
  <c r="T24" i="9" l="1"/>
  <c r="U22" i="9" s="1"/>
  <c r="AC66" i="3"/>
  <c r="U23" i="9"/>
  <c r="U25" i="9"/>
  <c r="AD65" i="3" s="1"/>
  <c r="V21" i="9"/>
  <c r="U24" i="9" l="1"/>
  <c r="V22" i="9" s="1"/>
  <c r="AD66" i="3"/>
  <c r="V25" i="9"/>
  <c r="AE65" i="3" s="1"/>
  <c r="V23" i="9"/>
  <c r="W21" i="9"/>
  <c r="V24" i="9" l="1"/>
  <c r="W22" i="9" s="1"/>
  <c r="AE66" i="3"/>
  <c r="W25" i="9"/>
  <c r="AF65" i="3" s="1"/>
  <c r="W23" i="9"/>
  <c r="G61" i="1"/>
  <c r="B13" i="1"/>
  <c r="M22" i="8"/>
  <c r="H22" i="8"/>
  <c r="M21" i="8"/>
  <c r="H21" i="8"/>
  <c r="L20" i="8"/>
  <c r="F13" i="8"/>
  <c r="F12" i="8"/>
  <c r="F11" i="8"/>
  <c r="F10" i="8"/>
  <c r="F9" i="8"/>
  <c r="K8" i="8"/>
  <c r="F8" i="8"/>
  <c r="K7" i="8"/>
  <c r="F7" i="8"/>
  <c r="K6" i="8"/>
  <c r="F6" i="8"/>
  <c r="K5" i="8"/>
  <c r="F5" i="8"/>
  <c r="K4" i="8"/>
  <c r="F4" i="8"/>
  <c r="K3" i="8"/>
  <c r="F3" i="8"/>
  <c r="B36" i="5"/>
  <c r="B22" i="5"/>
  <c r="BL62" i="3"/>
  <c r="BH62" i="3"/>
  <c r="BD62" i="3"/>
  <c r="AZ62" i="3"/>
  <c r="AV62" i="3"/>
  <c r="AR62" i="3"/>
  <c r="AN62" i="3"/>
  <c r="AJ62" i="3"/>
  <c r="AF62" i="3"/>
  <c r="AB62" i="3"/>
  <c r="X62" i="3"/>
  <c r="T62" i="3"/>
  <c r="P62" i="3"/>
  <c r="L62" i="3"/>
  <c r="D36" i="3"/>
  <c r="D15" i="3"/>
  <c r="I13" i="3"/>
  <c r="M13" i="3" s="1"/>
  <c r="Q13" i="3" s="1"/>
  <c r="U13" i="3" s="1"/>
  <c r="Y13" i="3" s="1"/>
  <c r="AC13" i="3" s="1"/>
  <c r="AG13" i="3" s="1"/>
  <c r="AK13" i="3" s="1"/>
  <c r="AO13" i="3" s="1"/>
  <c r="AS13" i="3" s="1"/>
  <c r="AW13" i="3" s="1"/>
  <c r="BA13" i="3" s="1"/>
  <c r="BE13" i="3" s="1"/>
  <c r="BI13" i="3" s="1"/>
  <c r="Q12" i="3"/>
  <c r="U9" i="3"/>
  <c r="R8" i="3"/>
  <c r="S8" i="3" s="1"/>
  <c r="T8" i="3" s="1"/>
  <c r="U8" i="3" s="1"/>
  <c r="V8" i="3" s="1"/>
  <c r="W8" i="3" s="1"/>
  <c r="X8" i="3" s="1"/>
  <c r="R7" i="3"/>
  <c r="S7" i="3" s="1"/>
  <c r="T7" i="3" s="1"/>
  <c r="U7" i="3" s="1"/>
  <c r="V7" i="3" s="1"/>
  <c r="W7" i="3" s="1"/>
  <c r="X7" i="3" s="1"/>
  <c r="N7" i="3"/>
  <c r="I7" i="3"/>
  <c r="D7" i="3"/>
  <c r="C7" i="3"/>
  <c r="S17" i="2"/>
  <c r="S16" i="2"/>
  <c r="R16" i="2"/>
  <c r="Q16" i="2"/>
  <c r="P16" i="2"/>
  <c r="O16" i="2"/>
  <c r="E16" i="2"/>
  <c r="S12" i="2"/>
  <c r="R12" i="2"/>
  <c r="Q12" i="2"/>
  <c r="P12" i="2"/>
  <c r="O12" i="2"/>
  <c r="E12" i="2"/>
  <c r="S8" i="2"/>
  <c r="P8" i="2"/>
  <c r="P17" i="2" s="1"/>
  <c r="C66" i="1"/>
  <c r="E64" i="1" s="1"/>
  <c r="G64" i="1" s="1"/>
  <c r="C63" i="1"/>
  <c r="E4" i="2" s="1"/>
  <c r="E62" i="1"/>
  <c r="E48" i="1"/>
  <c r="F48" i="1" s="1"/>
  <c r="D48" i="1" s="1"/>
  <c r="B41" i="1"/>
  <c r="B29" i="1"/>
  <c r="C28" i="1"/>
  <c r="D28" i="1" s="1"/>
  <c r="D27" i="1"/>
  <c r="C27" i="1"/>
  <c r="B20" i="1"/>
  <c r="B5" i="1" s="1"/>
  <c r="G3" i="1"/>
  <c r="W24" i="9" l="1"/>
  <c r="AF66" i="3"/>
  <c r="U12" i="3"/>
  <c r="Y12" i="3" s="1"/>
  <c r="AC12" i="3" s="1"/>
  <c r="AG12" i="3" s="1"/>
  <c r="AK12" i="3" s="1"/>
  <c r="AO12" i="3" s="1"/>
  <c r="AS12" i="3" s="1"/>
  <c r="D29" i="1"/>
  <c r="G4" i="1"/>
  <c r="O4" i="2"/>
  <c r="Q4" i="2" s="1"/>
  <c r="Q8" i="2" s="1"/>
  <c r="Q17" i="2" s="1"/>
  <c r="E63" i="1"/>
  <c r="E55" i="3"/>
  <c r="I55" i="3" s="1"/>
  <c r="M55" i="3" s="1"/>
  <c r="Q55" i="3" s="1"/>
  <c r="U55" i="3" s="1"/>
  <c r="Y55" i="3" s="1"/>
  <c r="AC55" i="3" s="1"/>
  <c r="AG55" i="3" s="1"/>
  <c r="AK55" i="3" s="1"/>
  <c r="AO55" i="3" s="1"/>
  <c r="AS55" i="3" s="1"/>
  <c r="AW55" i="3" s="1"/>
  <c r="BA55" i="3" s="1"/>
  <c r="BE55" i="3" s="1"/>
  <c r="BI55" i="3" s="1"/>
  <c r="E8" i="2"/>
  <c r="E17" i="2" s="1"/>
  <c r="F4" i="2"/>
  <c r="B17" i="1" s="1"/>
  <c r="H54" i="3"/>
  <c r="R4" i="2" l="1"/>
  <c r="B16" i="1"/>
  <c r="D20" i="3"/>
  <c r="M20" i="3" s="1"/>
  <c r="AW12" i="3"/>
  <c r="BA12" i="3" s="1"/>
  <c r="F52" i="3"/>
  <c r="E40" i="3"/>
  <c r="G40" i="3"/>
  <c r="B21" i="5"/>
  <c r="D18" i="3"/>
  <c r="O8" i="2"/>
  <c r="H52" i="3"/>
  <c r="H40" i="3"/>
  <c r="L39" i="3"/>
  <c r="L54" i="3"/>
  <c r="AS20" i="3" l="1"/>
  <c r="AT20" i="3" s="1"/>
  <c r="AO20" i="3"/>
  <c r="AO40" i="3" s="1"/>
  <c r="Y20" i="3"/>
  <c r="Z20" i="3" s="1"/>
  <c r="AC20" i="3"/>
  <c r="AC52" i="3" s="1"/>
  <c r="AG20" i="3"/>
  <c r="AG52" i="3" s="1"/>
  <c r="AK20" i="3"/>
  <c r="AK52" i="3" s="1"/>
  <c r="Q20" i="3"/>
  <c r="Q40" i="3" s="1"/>
  <c r="U20" i="3"/>
  <c r="U52" i="3" s="1"/>
  <c r="H39" i="3"/>
  <c r="D19" i="3"/>
  <c r="P19" i="3" s="1"/>
  <c r="T19" i="3" s="1"/>
  <c r="X19" i="3" s="1"/>
  <c r="AB19" i="3" s="1"/>
  <c r="AF19" i="3" s="1"/>
  <c r="AJ19" i="3" s="1"/>
  <c r="AN19" i="3" s="1"/>
  <c r="AR19" i="3" s="1"/>
  <c r="AV19" i="3" s="1"/>
  <c r="AZ19" i="3" s="1"/>
  <c r="BD19" i="3" s="1"/>
  <c r="BH19" i="3" s="1"/>
  <c r="BL19" i="3" s="1"/>
  <c r="R8" i="2"/>
  <c r="R17" i="2" s="1"/>
  <c r="BE12" i="3"/>
  <c r="BE18" i="3" s="1"/>
  <c r="BA20" i="3"/>
  <c r="BB20" i="3" s="1"/>
  <c r="Q18" i="3"/>
  <c r="AW18" i="3"/>
  <c r="U18" i="3"/>
  <c r="AO18" i="3"/>
  <c r="AC18" i="3"/>
  <c r="BA18" i="3"/>
  <c r="AS18" i="3"/>
  <c r="AK18" i="3"/>
  <c r="AG18" i="3"/>
  <c r="Y18" i="3"/>
  <c r="AW20" i="3"/>
  <c r="AX20" i="3" s="1"/>
  <c r="D17" i="3"/>
  <c r="M17" i="3" s="1"/>
  <c r="M18" i="3"/>
  <c r="G52" i="3"/>
  <c r="F40" i="3"/>
  <c r="E52" i="3"/>
  <c r="M52" i="3"/>
  <c r="M40" i="3"/>
  <c r="U40" i="3"/>
  <c r="AD20" i="3"/>
  <c r="AC40" i="3"/>
  <c r="AL20" i="3"/>
  <c r="O17" i="2"/>
  <c r="I52" i="3"/>
  <c r="I40" i="3"/>
  <c r="AS40" i="3" l="1"/>
  <c r="AO52" i="3"/>
  <c r="AP20" i="3"/>
  <c r="AP52" i="3" s="1"/>
  <c r="AK40" i="3"/>
  <c r="R20" i="3"/>
  <c r="R40" i="3" s="1"/>
  <c r="AH20" i="3"/>
  <c r="AH52" i="3" s="1"/>
  <c r="Q52" i="3"/>
  <c r="AG40" i="3"/>
  <c r="Y40" i="3"/>
  <c r="Y52" i="3"/>
  <c r="AW40" i="3"/>
  <c r="AW52" i="3"/>
  <c r="BA52" i="3"/>
  <c r="BA40" i="3"/>
  <c r="AS52" i="3"/>
  <c r="P39" i="3"/>
  <c r="P54" i="3"/>
  <c r="V20" i="3"/>
  <c r="V52" i="3" s="1"/>
  <c r="BI12" i="3"/>
  <c r="BE20" i="3"/>
  <c r="AG17" i="3"/>
  <c r="L52" i="3"/>
  <c r="L40" i="3"/>
  <c r="H17" i="3"/>
  <c r="H27" i="3" s="1"/>
  <c r="H38" i="3"/>
  <c r="T54" i="3"/>
  <c r="T39" i="3"/>
  <c r="N40" i="3"/>
  <c r="N52" i="3"/>
  <c r="AD40" i="3"/>
  <c r="AD52" i="3"/>
  <c r="AE20" i="3"/>
  <c r="AT52" i="3"/>
  <c r="AT40" i="3"/>
  <c r="AU20" i="3"/>
  <c r="AQ20" i="3"/>
  <c r="E17" i="3"/>
  <c r="E27" i="3" s="1"/>
  <c r="E38" i="3"/>
  <c r="G17" i="3"/>
  <c r="G27" i="3" s="1"/>
  <c r="G38" i="3"/>
  <c r="AY20" i="3"/>
  <c r="AX40" i="3"/>
  <c r="AX52" i="3"/>
  <c r="F17" i="3"/>
  <c r="F27" i="3" s="1"/>
  <c r="F38" i="3"/>
  <c r="P40" i="3"/>
  <c r="P52" i="3"/>
  <c r="J52" i="3"/>
  <c r="J40" i="3"/>
  <c r="O40" i="3"/>
  <c r="O52" i="3"/>
  <c r="AA20" i="3"/>
  <c r="Z52" i="3"/>
  <c r="Z40" i="3"/>
  <c r="BB52" i="3"/>
  <c r="BB40" i="3"/>
  <c r="BC20" i="3"/>
  <c r="K52" i="3"/>
  <c r="K40" i="3"/>
  <c r="AM20" i="3"/>
  <c r="AL40" i="3"/>
  <c r="AL52" i="3"/>
  <c r="S20" i="3" l="1"/>
  <c r="T20" i="3" s="1"/>
  <c r="AP40" i="3"/>
  <c r="R52" i="3"/>
  <c r="AI20" i="3"/>
  <c r="AI52" i="3" s="1"/>
  <c r="AH40" i="3"/>
  <c r="W20" i="3"/>
  <c r="W40" i="3" s="1"/>
  <c r="V40" i="3"/>
  <c r="BF20" i="3"/>
  <c r="BE52" i="3"/>
  <c r="BE40" i="3"/>
  <c r="BI20" i="3"/>
  <c r="BI18" i="3"/>
  <c r="BJ18" i="3" s="1"/>
  <c r="Y38" i="3"/>
  <c r="AB18" i="3"/>
  <c r="AA18" i="3"/>
  <c r="Y17" i="3"/>
  <c r="Y27" i="3" s="1"/>
  <c r="Z18" i="3"/>
  <c r="F29" i="3"/>
  <c r="F30" i="3" s="1"/>
  <c r="AK38" i="3"/>
  <c r="AM18" i="3"/>
  <c r="AK17" i="3"/>
  <c r="AK27" i="3" s="1"/>
  <c r="AN18" i="3"/>
  <c r="AL18" i="3"/>
  <c r="I17" i="3"/>
  <c r="I27" i="3" s="1"/>
  <c r="I38" i="3"/>
  <c r="AU52" i="3"/>
  <c r="AU40" i="3"/>
  <c r="AV20" i="3"/>
  <c r="X54" i="3"/>
  <c r="X39" i="3"/>
  <c r="AF18" i="3"/>
  <c r="AE18" i="3"/>
  <c r="AD18" i="3"/>
  <c r="AC38" i="3"/>
  <c r="AC17" i="3"/>
  <c r="AC27" i="3" s="1"/>
  <c r="AE52" i="3"/>
  <c r="AE40" i="3"/>
  <c r="AF20" i="3"/>
  <c r="H42" i="3"/>
  <c r="H43" i="3"/>
  <c r="H73" i="3" s="1"/>
  <c r="H53" i="3"/>
  <c r="M38" i="3"/>
  <c r="M27" i="3"/>
  <c r="H29" i="3"/>
  <c r="H30" i="3" s="1"/>
  <c r="BC40" i="3"/>
  <c r="BD20" i="3"/>
  <c r="BC52" i="3"/>
  <c r="AG27" i="3"/>
  <c r="AH18" i="3"/>
  <c r="AJ18" i="3"/>
  <c r="AI18" i="3"/>
  <c r="AG38" i="3"/>
  <c r="E29" i="3"/>
  <c r="E30" i="3" s="1"/>
  <c r="E28" i="3"/>
  <c r="F28" i="3" s="1"/>
  <c r="G28" i="3" s="1"/>
  <c r="H28" i="3" s="1"/>
  <c r="AI40" i="3"/>
  <c r="AJ20" i="3"/>
  <c r="T18" i="3"/>
  <c r="S18" i="3"/>
  <c r="R18" i="3"/>
  <c r="Q17" i="3"/>
  <c r="Q27" i="3" s="1"/>
  <c r="Q38" i="3"/>
  <c r="F43" i="3"/>
  <c r="F73" i="3" s="1"/>
  <c r="F53" i="3"/>
  <c r="F42" i="3"/>
  <c r="AS17" i="3"/>
  <c r="AS27" i="3" s="1"/>
  <c r="AS38" i="3"/>
  <c r="AV18" i="3"/>
  <c r="AU18" i="3"/>
  <c r="AT18" i="3"/>
  <c r="BD18" i="3"/>
  <c r="BC18" i="3"/>
  <c r="BB18" i="3"/>
  <c r="BA17" i="3"/>
  <c r="BA27" i="3" s="1"/>
  <c r="BA38" i="3"/>
  <c r="BE17" i="3"/>
  <c r="BE27" i="3" s="1"/>
  <c r="BE38" i="3"/>
  <c r="BH18" i="3"/>
  <c r="BF18" i="3"/>
  <c r="BG18" i="3"/>
  <c r="AM52" i="3"/>
  <c r="AM40" i="3"/>
  <c r="AN20" i="3"/>
  <c r="G53" i="3"/>
  <c r="G43" i="3"/>
  <c r="G73" i="3" s="1"/>
  <c r="G42" i="3"/>
  <c r="G29" i="3"/>
  <c r="G30" i="3" s="1"/>
  <c r="AR20" i="3"/>
  <c r="AQ52" i="3"/>
  <c r="AQ40" i="3"/>
  <c r="U17" i="3"/>
  <c r="U27" i="3" s="1"/>
  <c r="X18" i="3"/>
  <c r="V18" i="3"/>
  <c r="U38" i="3"/>
  <c r="W18" i="3"/>
  <c r="D4" i="8"/>
  <c r="E53" i="3"/>
  <c r="E43" i="3"/>
  <c r="E73" i="3" s="1"/>
  <c r="E42" i="3"/>
  <c r="AB20" i="3"/>
  <c r="AA52" i="3"/>
  <c r="AA40" i="3"/>
  <c r="AY52" i="3"/>
  <c r="AY40" i="3"/>
  <c r="AZ20" i="3"/>
  <c r="S40" i="3"/>
  <c r="S52" i="3"/>
  <c r="AW38" i="3"/>
  <c r="AZ18" i="3"/>
  <c r="AW17" i="3"/>
  <c r="AW27" i="3" s="1"/>
  <c r="AY18" i="3"/>
  <c r="AX18" i="3"/>
  <c r="W52" i="3" l="1"/>
  <c r="X20" i="3"/>
  <c r="BL18" i="3"/>
  <c r="BI38" i="3"/>
  <c r="BJ20" i="3"/>
  <c r="BI40" i="3"/>
  <c r="BI52" i="3"/>
  <c r="BK18" i="3"/>
  <c r="BK38" i="3" s="1"/>
  <c r="BI17" i="3"/>
  <c r="BI27" i="3" s="1"/>
  <c r="BI29" i="3" s="1"/>
  <c r="BI30" i="3" s="1"/>
  <c r="BF40" i="3"/>
  <c r="BF52" i="3"/>
  <c r="BG20" i="3"/>
  <c r="I28" i="3"/>
  <c r="N4" i="8"/>
  <c r="I4" i="8"/>
  <c r="Q53" i="3"/>
  <c r="Q42" i="3"/>
  <c r="Q43" i="3"/>
  <c r="Q73" i="3" s="1"/>
  <c r="K17" i="3"/>
  <c r="K27" i="3" s="1"/>
  <c r="K38" i="3"/>
  <c r="X52" i="3"/>
  <c r="X40" i="3"/>
  <c r="AJ38" i="3"/>
  <c r="AV38" i="3"/>
  <c r="AH17" i="3"/>
  <c r="AH27" i="3" s="1"/>
  <c r="AH38" i="3"/>
  <c r="I29" i="3"/>
  <c r="I30" i="3" s="1"/>
  <c r="V17" i="3"/>
  <c r="V27" i="3" s="1"/>
  <c r="V38" i="3"/>
  <c r="AS53" i="3"/>
  <c r="AS43" i="3"/>
  <c r="AS73" i="3" s="1"/>
  <c r="AS42" i="3"/>
  <c r="AG29" i="3"/>
  <c r="AG30" i="3" s="1"/>
  <c r="AC42" i="3"/>
  <c r="AC53" i="3"/>
  <c r="AC43" i="3"/>
  <c r="AC73" i="3" s="1"/>
  <c r="AB54" i="3"/>
  <c r="AF17" i="3"/>
  <c r="AF27" i="3" s="1"/>
  <c r="AB39" i="3"/>
  <c r="E58" i="3"/>
  <c r="E74" i="3" s="1"/>
  <c r="E75" i="3" s="1"/>
  <c r="E57" i="3"/>
  <c r="BF17" i="3"/>
  <c r="BF27" i="3" s="1"/>
  <c r="BF38" i="3"/>
  <c r="M29" i="3"/>
  <c r="M30" i="3" s="1"/>
  <c r="AF40" i="3"/>
  <c r="AF52" i="3"/>
  <c r="AM17" i="3"/>
  <c r="AM27" i="3" s="1"/>
  <c r="AM38" i="3"/>
  <c r="BH38" i="3"/>
  <c r="AK43" i="3"/>
  <c r="AK73" i="3" s="1"/>
  <c r="AK42" i="3"/>
  <c r="AK53" i="3"/>
  <c r="BE53" i="3"/>
  <c r="BE43" i="3"/>
  <c r="BE73" i="3" s="1"/>
  <c r="BE42" i="3"/>
  <c r="AG53" i="3"/>
  <c r="AG43" i="3"/>
  <c r="AG73" i="3" s="1"/>
  <c r="AG42" i="3"/>
  <c r="BE46" i="3"/>
  <c r="BE29" i="3"/>
  <c r="BE30" i="3" s="1"/>
  <c r="R38" i="3"/>
  <c r="R17" i="3"/>
  <c r="R27" i="3" s="1"/>
  <c r="AI17" i="3"/>
  <c r="AI27" i="3" s="1"/>
  <c r="AI38" i="3"/>
  <c r="O17" i="3"/>
  <c r="O27" i="3" s="1"/>
  <c r="O38" i="3"/>
  <c r="T40" i="3"/>
  <c r="T52" i="3"/>
  <c r="W38" i="3"/>
  <c r="W17" i="3"/>
  <c r="W27" i="3" s="1"/>
  <c r="AU38" i="3"/>
  <c r="AU17" i="3"/>
  <c r="AU27" i="3" s="1"/>
  <c r="S17" i="3"/>
  <c r="S27" i="3" s="1"/>
  <c r="S38" i="3"/>
  <c r="M42" i="3"/>
  <c r="M43" i="3"/>
  <c r="M73" i="3" s="1"/>
  <c r="M53" i="3"/>
  <c r="AY17" i="3"/>
  <c r="AY27" i="3" s="1"/>
  <c r="AY38" i="3"/>
  <c r="AD38" i="3"/>
  <c r="AD17" i="3"/>
  <c r="AD27" i="3" s="1"/>
  <c r="Z38" i="3"/>
  <c r="Z17" i="3"/>
  <c r="Z27" i="3" s="1"/>
  <c r="AZ38" i="3"/>
  <c r="U29" i="3"/>
  <c r="U30" i="3" s="1"/>
  <c r="AN40" i="3"/>
  <c r="AN52" i="3"/>
  <c r="BA42" i="3"/>
  <c r="BA43" i="3"/>
  <c r="BA73" i="3" s="1"/>
  <c r="BA53" i="3"/>
  <c r="F46" i="3"/>
  <c r="F44" i="3"/>
  <c r="AJ40" i="3"/>
  <c r="AJ52" i="3"/>
  <c r="BD40" i="3"/>
  <c r="BD52" i="3"/>
  <c r="AE38" i="3"/>
  <c r="AE17" i="3"/>
  <c r="AE27" i="3" s="1"/>
  <c r="Y29" i="3"/>
  <c r="Y30" i="3" s="1"/>
  <c r="AR52" i="3"/>
  <c r="AR40" i="3"/>
  <c r="P38" i="3"/>
  <c r="P17" i="3"/>
  <c r="P27" i="3" s="1"/>
  <c r="L38" i="3"/>
  <c r="L17" i="3"/>
  <c r="L27" i="3" s="1"/>
  <c r="Q29" i="3"/>
  <c r="Q30" i="3" s="1"/>
  <c r="N38" i="3"/>
  <c r="N17" i="3"/>
  <c r="N27" i="3" s="1"/>
  <c r="J17" i="3"/>
  <c r="J27" i="3" s="1"/>
  <c r="J38" i="3"/>
  <c r="AB52" i="3"/>
  <c r="AB40" i="3"/>
  <c r="AT17" i="3"/>
  <c r="AT27" i="3" s="1"/>
  <c r="AT38" i="3"/>
  <c r="I53" i="3"/>
  <c r="I43" i="3"/>
  <c r="I73" i="3" s="1"/>
  <c r="I42" i="3"/>
  <c r="U53" i="3"/>
  <c r="U43" i="3"/>
  <c r="U73" i="3" s="1"/>
  <c r="U42" i="3"/>
  <c r="AC29" i="3"/>
  <c r="AC30" i="3" s="1"/>
  <c r="X38" i="3"/>
  <c r="X17" i="3"/>
  <c r="X27" i="3" s="1"/>
  <c r="AS46" i="3"/>
  <c r="AS29" i="3"/>
  <c r="AS30" i="3" s="1"/>
  <c r="BA29" i="3"/>
  <c r="BA30" i="3" s="1"/>
  <c r="BA46" i="3"/>
  <c r="H58" i="3"/>
  <c r="H74" i="3" s="1"/>
  <c r="H75" i="3" s="1"/>
  <c r="H57" i="3"/>
  <c r="AL38" i="3"/>
  <c r="AL17" i="3"/>
  <c r="AL27" i="3" s="1"/>
  <c r="AZ52" i="3"/>
  <c r="AZ40" i="3"/>
  <c r="E44" i="3"/>
  <c r="E46" i="3"/>
  <c r="BJ38" i="3"/>
  <c r="BJ17" i="3"/>
  <c r="BJ27" i="3" s="1"/>
  <c r="BB17" i="3"/>
  <c r="BB27" i="3" s="1"/>
  <c r="BB38" i="3"/>
  <c r="AV40" i="3"/>
  <c r="AV52" i="3"/>
  <c r="AN38" i="3"/>
  <c r="AB38" i="3"/>
  <c r="AB17" i="3"/>
  <c r="AB27" i="3" s="1"/>
  <c r="BD38" i="3"/>
  <c r="AX38" i="3"/>
  <c r="AX17" i="3"/>
  <c r="AX27" i="3" s="1"/>
  <c r="T17" i="3"/>
  <c r="T27" i="3" s="1"/>
  <c r="T38" i="3"/>
  <c r="AW29" i="3"/>
  <c r="AW30" i="3" s="1"/>
  <c r="AW46" i="3"/>
  <c r="G46" i="3"/>
  <c r="G44" i="3"/>
  <c r="AW42" i="3"/>
  <c r="AW53" i="3"/>
  <c r="AW43" i="3"/>
  <c r="AW73" i="3" s="1"/>
  <c r="G58" i="3"/>
  <c r="G74" i="3" s="1"/>
  <c r="G75" i="3" s="1"/>
  <c r="G57" i="3"/>
  <c r="F57" i="3"/>
  <c r="F58" i="3"/>
  <c r="F74" i="3" s="1"/>
  <c r="F75" i="3" s="1"/>
  <c r="AF38" i="3"/>
  <c r="AA38" i="3"/>
  <c r="AA17" i="3"/>
  <c r="AA27" i="3" s="1"/>
  <c r="BL38" i="3"/>
  <c r="BG38" i="3"/>
  <c r="BC17" i="3"/>
  <c r="BC27" i="3" s="1"/>
  <c r="BC38" i="3"/>
  <c r="H46" i="3"/>
  <c r="H44" i="3"/>
  <c r="AK29" i="3"/>
  <c r="AK30" i="3" s="1"/>
  <c r="Y53" i="3"/>
  <c r="Y43" i="3"/>
  <c r="Y73" i="3" s="1"/>
  <c r="Y42" i="3"/>
  <c r="BI43" i="3" l="1"/>
  <c r="BI73" i="3" s="1"/>
  <c r="BI53" i="3"/>
  <c r="BI42" i="3"/>
  <c r="BI46" i="3"/>
  <c r="BI47" i="3" s="1"/>
  <c r="BG40" i="3"/>
  <c r="BH20" i="3"/>
  <c r="BG52" i="3"/>
  <c r="BG17" i="3"/>
  <c r="BG27" i="3" s="1"/>
  <c r="BG46" i="3" s="1"/>
  <c r="BK20" i="3"/>
  <c r="BJ40" i="3"/>
  <c r="BJ43" i="3" s="1"/>
  <c r="BJ73" i="3" s="1"/>
  <c r="BJ52" i="3"/>
  <c r="G59" i="3"/>
  <c r="BE44" i="3"/>
  <c r="D8" i="8"/>
  <c r="N8" i="8" s="1"/>
  <c r="D6" i="8"/>
  <c r="I6" i="8" s="1"/>
  <c r="J28" i="3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H59" i="3"/>
  <c r="BI44" i="3"/>
  <c r="D14" i="8"/>
  <c r="F59" i="3"/>
  <c r="D7" i="8"/>
  <c r="I7" i="8" s="1"/>
  <c r="D15" i="8"/>
  <c r="E59" i="3"/>
  <c r="AS44" i="3"/>
  <c r="AF29" i="3"/>
  <c r="AF30" i="3" s="1"/>
  <c r="Y57" i="3"/>
  <c r="Y58" i="3"/>
  <c r="Y74" i="3" s="1"/>
  <c r="Y75" i="3" s="1"/>
  <c r="AX29" i="3"/>
  <c r="AX30" i="3" s="1"/>
  <c r="AX46" i="3"/>
  <c r="P53" i="3"/>
  <c r="P43" i="3"/>
  <c r="P73" i="3" s="1"/>
  <c r="P42" i="3"/>
  <c r="O42" i="3"/>
  <c r="O43" i="3"/>
  <c r="O73" i="3" s="1"/>
  <c r="O53" i="3"/>
  <c r="AL43" i="3"/>
  <c r="AL73" i="3" s="1"/>
  <c r="AL42" i="3"/>
  <c r="AL53" i="3"/>
  <c r="AS47" i="3"/>
  <c r="H47" i="3"/>
  <c r="AB29" i="3"/>
  <c r="AB30" i="3" s="1"/>
  <c r="AC57" i="3"/>
  <c r="AC58" i="3"/>
  <c r="AC74" i="3" s="1"/>
  <c r="AC75" i="3" s="1"/>
  <c r="R29" i="3"/>
  <c r="R30" i="3" s="1"/>
  <c r="AV53" i="3"/>
  <c r="AX42" i="3"/>
  <c r="AX53" i="3"/>
  <c r="AX43" i="3"/>
  <c r="AX73" i="3" s="1"/>
  <c r="BB43" i="3"/>
  <c r="BB73" i="3" s="1"/>
  <c r="BB42" i="3"/>
  <c r="BB53" i="3"/>
  <c r="O29" i="3"/>
  <c r="O30" i="3" s="1"/>
  <c r="AU46" i="3"/>
  <c r="AU29" i="3"/>
  <c r="AU30" i="3" s="1"/>
  <c r="I46" i="3"/>
  <c r="I44" i="3"/>
  <c r="N29" i="3"/>
  <c r="N30" i="3" s="1"/>
  <c r="F47" i="3"/>
  <c r="AY42" i="3"/>
  <c r="AY43" i="3"/>
  <c r="AY73" i="3" s="1"/>
  <c r="AY53" i="3"/>
  <c r="AI29" i="3"/>
  <c r="AI30" i="3" s="1"/>
  <c r="AG58" i="3"/>
  <c r="AG74" i="3" s="1"/>
  <c r="AG75" i="3" s="1"/>
  <c r="AG57" i="3"/>
  <c r="BH53" i="3"/>
  <c r="BF53" i="3"/>
  <c r="BF43" i="3"/>
  <c r="BF73" i="3" s="1"/>
  <c r="BF42" i="3"/>
  <c r="Q44" i="3"/>
  <c r="Q46" i="3"/>
  <c r="AB53" i="3"/>
  <c r="AB58" i="3" s="1"/>
  <c r="AB74" i="3" s="1"/>
  <c r="AB43" i="3"/>
  <c r="AB73" i="3" s="1"/>
  <c r="AB42" i="3"/>
  <c r="N42" i="3"/>
  <c r="N43" i="3"/>
  <c r="N73" i="3" s="1"/>
  <c r="N53" i="3"/>
  <c r="Z29" i="3"/>
  <c r="Z30" i="3" s="1"/>
  <c r="AY29" i="3"/>
  <c r="AY30" i="3" s="1"/>
  <c r="AY46" i="3"/>
  <c r="BF46" i="3"/>
  <c r="BF29" i="3"/>
  <c r="BF30" i="3" s="1"/>
  <c r="Q58" i="3"/>
  <c r="Q74" i="3" s="1"/>
  <c r="Q75" i="3" s="1"/>
  <c r="Q57" i="3"/>
  <c r="AF53" i="3"/>
  <c r="AW47" i="3"/>
  <c r="I58" i="3"/>
  <c r="I74" i="3" s="1"/>
  <c r="I75" i="3" s="1"/>
  <c r="I57" i="3"/>
  <c r="BJ53" i="3"/>
  <c r="BA44" i="3"/>
  <c r="BI58" i="3"/>
  <c r="BI74" i="3" s="1"/>
  <c r="BI75" i="3" s="1"/>
  <c r="BG53" i="3"/>
  <c r="BG43" i="3"/>
  <c r="BG73" i="3" s="1"/>
  <c r="BG42" i="3"/>
  <c r="BD53" i="3"/>
  <c r="E47" i="3"/>
  <c r="AT53" i="3"/>
  <c r="AT43" i="3"/>
  <c r="AT73" i="3" s="1"/>
  <c r="AT42" i="3"/>
  <c r="AD42" i="3"/>
  <c r="AD53" i="3"/>
  <c r="AD43" i="3"/>
  <c r="AD73" i="3" s="1"/>
  <c r="BE58" i="3"/>
  <c r="BE74" i="3" s="1"/>
  <c r="BE75" i="3" s="1"/>
  <c r="AK46" i="3"/>
  <c r="AK44" i="3"/>
  <c r="U58" i="3"/>
  <c r="U74" i="3" s="1"/>
  <c r="U75" i="3" s="1"/>
  <c r="U57" i="3"/>
  <c r="S29" i="3"/>
  <c r="S30" i="3" s="1"/>
  <c r="BB46" i="3"/>
  <c r="BB29" i="3"/>
  <c r="BB30" i="3" s="1"/>
  <c r="AZ53" i="3"/>
  <c r="X29" i="3"/>
  <c r="X30" i="3" s="1"/>
  <c r="G47" i="3"/>
  <c r="BA47" i="3"/>
  <c r="BA57" i="3"/>
  <c r="BA58" i="3"/>
  <c r="BA74" i="3" s="1"/>
  <c r="BA75" i="3" s="1"/>
  <c r="AC46" i="3"/>
  <c r="AC44" i="3"/>
  <c r="D10" i="8"/>
  <c r="AN53" i="3"/>
  <c r="AT46" i="3"/>
  <c r="AT29" i="3"/>
  <c r="AT30" i="3" s="1"/>
  <c r="AE29" i="3"/>
  <c r="AE30" i="3" s="1"/>
  <c r="M57" i="3"/>
  <c r="M58" i="3"/>
  <c r="M74" i="3" s="1"/>
  <c r="M75" i="3" s="1"/>
  <c r="W29" i="3"/>
  <c r="W30" i="3" s="1"/>
  <c r="BE47" i="3"/>
  <c r="AH53" i="3"/>
  <c r="AH43" i="3"/>
  <c r="AH73" i="3" s="1"/>
  <c r="AH42" i="3"/>
  <c r="T29" i="3"/>
  <c r="T30" i="3" s="1"/>
  <c r="J53" i="3"/>
  <c r="J43" i="3"/>
  <c r="J73" i="3" s="1"/>
  <c r="J42" i="3"/>
  <c r="P29" i="3"/>
  <c r="P30" i="3" s="1"/>
  <c r="J29" i="3"/>
  <c r="J30" i="3" s="1"/>
  <c r="AF54" i="3"/>
  <c r="AF39" i="3"/>
  <c r="AF43" i="3" s="1"/>
  <c r="AF73" i="3" s="1"/>
  <c r="AG46" i="3"/>
  <c r="AG44" i="3"/>
  <c r="AA29" i="3"/>
  <c r="AA30" i="3" s="1"/>
  <c r="AI53" i="3"/>
  <c r="AI43" i="3"/>
  <c r="AI73" i="3" s="1"/>
  <c r="AI42" i="3"/>
  <c r="AS57" i="3"/>
  <c r="AS58" i="3"/>
  <c r="AS74" i="3" s="1"/>
  <c r="AS75" i="3" s="1"/>
  <c r="BC53" i="3"/>
  <c r="BC43" i="3"/>
  <c r="BC73" i="3" s="1"/>
  <c r="BC42" i="3"/>
  <c r="R42" i="3"/>
  <c r="R53" i="3"/>
  <c r="R43" i="3"/>
  <c r="R73" i="3" s="1"/>
  <c r="V29" i="3"/>
  <c r="V30" i="3" s="1"/>
  <c r="D5" i="8"/>
  <c r="AJ53" i="3"/>
  <c r="Y46" i="3"/>
  <c r="Y44" i="3"/>
  <c r="L29" i="3"/>
  <c r="L30" i="3" s="1"/>
  <c r="AE42" i="3"/>
  <c r="AE43" i="3"/>
  <c r="AE73" i="3" s="1"/>
  <c r="AE53" i="3"/>
  <c r="W53" i="3"/>
  <c r="W43" i="3"/>
  <c r="W73" i="3" s="1"/>
  <c r="W42" i="3"/>
  <c r="AM43" i="3"/>
  <c r="AM73" i="3" s="1"/>
  <c r="AM53" i="3"/>
  <c r="AM42" i="3"/>
  <c r="AH29" i="3"/>
  <c r="AH30" i="3" s="1"/>
  <c r="K53" i="3"/>
  <c r="K43" i="3"/>
  <c r="K73" i="3" s="1"/>
  <c r="K42" i="3"/>
  <c r="AW57" i="3"/>
  <c r="AW58" i="3"/>
  <c r="AW74" i="3" s="1"/>
  <c r="AW75" i="3" s="1"/>
  <c r="AL29" i="3"/>
  <c r="AL30" i="3" s="1"/>
  <c r="S53" i="3"/>
  <c r="S43" i="3"/>
  <c r="S73" i="3" s="1"/>
  <c r="S42" i="3"/>
  <c r="AW44" i="3"/>
  <c r="D12" i="8"/>
  <c r="AA53" i="3"/>
  <c r="AA42" i="3"/>
  <c r="AA43" i="3"/>
  <c r="AA73" i="3" s="1"/>
  <c r="AU53" i="3"/>
  <c r="AU43" i="3"/>
  <c r="AU73" i="3" s="1"/>
  <c r="AU42" i="3"/>
  <c r="X43" i="3"/>
  <c r="X73" i="3" s="1"/>
  <c r="X53" i="3"/>
  <c r="X58" i="3" s="1"/>
  <c r="X74" i="3" s="1"/>
  <c r="X42" i="3"/>
  <c r="D11" i="8"/>
  <c r="V53" i="3"/>
  <c r="V43" i="3"/>
  <c r="V73" i="3" s="1"/>
  <c r="V42" i="3"/>
  <c r="BC46" i="3"/>
  <c r="BC29" i="3"/>
  <c r="BC30" i="3" s="1"/>
  <c r="BJ29" i="3"/>
  <c r="BJ30" i="3" s="1"/>
  <c r="BJ46" i="3"/>
  <c r="Z43" i="3"/>
  <c r="Z73" i="3" s="1"/>
  <c r="Z53" i="3"/>
  <c r="Z42" i="3"/>
  <c r="AD29" i="3"/>
  <c r="AD30" i="3" s="1"/>
  <c r="D9" i="8"/>
  <c r="I9" i="8" s="1"/>
  <c r="BL53" i="3"/>
  <c r="T43" i="3"/>
  <c r="T73" i="3" s="1"/>
  <c r="T53" i="3"/>
  <c r="T57" i="3" s="1"/>
  <c r="T42" i="3"/>
  <c r="U46" i="3"/>
  <c r="U44" i="3"/>
  <c r="L53" i="3"/>
  <c r="L43" i="3"/>
  <c r="L73" i="3" s="1"/>
  <c r="L42" i="3"/>
  <c r="BK53" i="3"/>
  <c r="M46" i="3"/>
  <c r="M44" i="3"/>
  <c r="AK58" i="3"/>
  <c r="AK74" i="3" s="1"/>
  <c r="AK75" i="3" s="1"/>
  <c r="AK57" i="3"/>
  <c r="AM29" i="3"/>
  <c r="AM30" i="3" s="1"/>
  <c r="K29" i="3"/>
  <c r="K30" i="3" s="1"/>
  <c r="BG29" i="3" l="1"/>
  <c r="BG30" i="3" s="1"/>
  <c r="BJ42" i="3"/>
  <c r="BJ44" i="3" s="1"/>
  <c r="BL20" i="3"/>
  <c r="BK52" i="3"/>
  <c r="BK40" i="3"/>
  <c r="BK17" i="3"/>
  <c r="BK27" i="3" s="1"/>
  <c r="BH40" i="3"/>
  <c r="BH52" i="3"/>
  <c r="AU44" i="3"/>
  <c r="BB44" i="3"/>
  <c r="AT44" i="3"/>
  <c r="N6" i="8"/>
  <c r="I8" i="8"/>
  <c r="BG44" i="3"/>
  <c r="BC44" i="3"/>
  <c r="T58" i="3"/>
  <c r="T74" i="3" s="1"/>
  <c r="T75" i="3" s="1"/>
  <c r="AB57" i="3"/>
  <c r="AB59" i="3" s="1"/>
  <c r="X57" i="3"/>
  <c r="X59" i="3" s="1"/>
  <c r="AF58" i="3"/>
  <c r="AF74" i="3" s="1"/>
  <c r="AF75" i="3" s="1"/>
  <c r="N7" i="8"/>
  <c r="AX44" i="3"/>
  <c r="AK59" i="3"/>
  <c r="U59" i="3"/>
  <c r="AF42" i="3"/>
  <c r="AF44" i="3" s="1"/>
  <c r="AG59" i="3"/>
  <c r="BE59" i="3"/>
  <c r="R58" i="3"/>
  <c r="R74" i="3" s="1"/>
  <c r="R75" i="3" s="1"/>
  <c r="R57" i="3"/>
  <c r="AL46" i="3"/>
  <c r="AL44" i="3"/>
  <c r="AU57" i="3"/>
  <c r="AU58" i="3"/>
  <c r="AU74" i="3" s="1"/>
  <c r="AU75" i="3" s="1"/>
  <c r="Y59" i="3"/>
  <c r="AA44" i="3"/>
  <c r="AA46" i="3"/>
  <c r="AH58" i="3"/>
  <c r="AH74" i="3" s="1"/>
  <c r="AH75" i="3" s="1"/>
  <c r="AH57" i="3"/>
  <c r="L57" i="3"/>
  <c r="L58" i="3"/>
  <c r="L74" i="3" s="1"/>
  <c r="L75" i="3" s="1"/>
  <c r="BJ47" i="3"/>
  <c r="X75" i="3"/>
  <c r="S44" i="3"/>
  <c r="S46" i="3"/>
  <c r="W46" i="3"/>
  <c r="W44" i="3"/>
  <c r="AJ39" i="3"/>
  <c r="AJ54" i="3"/>
  <c r="AJ17" i="3"/>
  <c r="AJ27" i="3" s="1"/>
  <c r="AT47" i="3"/>
  <c r="I59" i="3"/>
  <c r="AY47" i="3"/>
  <c r="AB75" i="3"/>
  <c r="AX57" i="3"/>
  <c r="AX58" i="3"/>
  <c r="AX74" i="3" s="1"/>
  <c r="AX75" i="3" s="1"/>
  <c r="AD58" i="3"/>
  <c r="AD74" i="3" s="1"/>
  <c r="AD75" i="3" s="1"/>
  <c r="AD57" i="3"/>
  <c r="V46" i="3"/>
  <c r="V44" i="3"/>
  <c r="AG47" i="3"/>
  <c r="M59" i="3"/>
  <c r="AC47" i="3"/>
  <c r="BJ58" i="3"/>
  <c r="BJ74" i="3" s="1"/>
  <c r="BJ75" i="3" s="1"/>
  <c r="Q59" i="3"/>
  <c r="N57" i="3"/>
  <c r="N58" i="3"/>
  <c r="N74" i="3" s="1"/>
  <c r="N75" i="3" s="1"/>
  <c r="BF44" i="3"/>
  <c r="AY44" i="3"/>
  <c r="P44" i="3"/>
  <c r="P46" i="3"/>
  <c r="AF57" i="3"/>
  <c r="Q47" i="3"/>
  <c r="AU47" i="3"/>
  <c r="AA58" i="3"/>
  <c r="AA74" i="3" s="1"/>
  <c r="AA75" i="3" s="1"/>
  <c r="AA57" i="3"/>
  <c r="O46" i="3"/>
  <c r="O44" i="3"/>
  <c r="BK58" i="3"/>
  <c r="BK74" i="3" s="1"/>
  <c r="BC58" i="3"/>
  <c r="BC74" i="3" s="1"/>
  <c r="BC75" i="3" s="1"/>
  <c r="BC57" i="3"/>
  <c r="V57" i="3"/>
  <c r="V58" i="3"/>
  <c r="V74" i="3" s="1"/>
  <c r="V75" i="3" s="1"/>
  <c r="AW59" i="3"/>
  <c r="J46" i="3"/>
  <c r="J44" i="3"/>
  <c r="BB57" i="3"/>
  <c r="BB58" i="3"/>
  <c r="BB74" i="3" s="1"/>
  <c r="BB75" i="3" s="1"/>
  <c r="BC47" i="3"/>
  <c r="Y47" i="3"/>
  <c r="I11" i="8"/>
  <c r="BA59" i="3"/>
  <c r="AT58" i="3"/>
  <c r="AT74" i="3" s="1"/>
  <c r="AT75" i="3" s="1"/>
  <c r="AT57" i="3"/>
  <c r="N44" i="3"/>
  <c r="N46" i="3"/>
  <c r="BF58" i="3"/>
  <c r="BF74" i="3" s="1"/>
  <c r="BF75" i="3" s="1"/>
  <c r="P57" i="3"/>
  <c r="P58" i="3"/>
  <c r="P74" i="3" s="1"/>
  <c r="P75" i="3" s="1"/>
  <c r="AI58" i="3"/>
  <c r="AI74" i="3" s="1"/>
  <c r="AI75" i="3" s="1"/>
  <c r="AI57" i="3"/>
  <c r="AL58" i="3"/>
  <c r="AL74" i="3" s="1"/>
  <c r="AL75" i="3" s="1"/>
  <c r="AL57" i="3"/>
  <c r="S58" i="3"/>
  <c r="S74" i="3" s="1"/>
  <c r="S75" i="3" s="1"/>
  <c r="S57" i="3"/>
  <c r="W57" i="3"/>
  <c r="W58" i="3"/>
  <c r="W74" i="3" s="1"/>
  <c r="W75" i="3" s="1"/>
  <c r="R44" i="3"/>
  <c r="R46" i="3"/>
  <c r="AC59" i="3"/>
  <c r="M47" i="3"/>
  <c r="AM44" i="3"/>
  <c r="AM46" i="3"/>
  <c r="AM57" i="3"/>
  <c r="AM58" i="3"/>
  <c r="AM74" i="3" s="1"/>
  <c r="AM75" i="3" s="1"/>
  <c r="I10" i="8"/>
  <c r="AD46" i="3"/>
  <c r="AD44" i="3"/>
  <c r="AK47" i="3"/>
  <c r="Z46" i="3"/>
  <c r="Z44" i="3"/>
  <c r="K46" i="3"/>
  <c r="K44" i="3"/>
  <c r="AE44" i="3"/>
  <c r="AE46" i="3"/>
  <c r="Z58" i="3"/>
  <c r="Z74" i="3" s="1"/>
  <c r="Z75" i="3" s="1"/>
  <c r="Z57" i="3"/>
  <c r="I12" i="8"/>
  <c r="AS59" i="3"/>
  <c r="J57" i="3"/>
  <c r="J58" i="3"/>
  <c r="J74" i="3" s="1"/>
  <c r="J75" i="3" s="1"/>
  <c r="BB47" i="3"/>
  <c r="BG58" i="3"/>
  <c r="BG74" i="3" s="1"/>
  <c r="BG75" i="3" s="1"/>
  <c r="AX47" i="3"/>
  <c r="I47" i="3"/>
  <c r="U47" i="3"/>
  <c r="O58" i="3"/>
  <c r="O74" i="3" s="1"/>
  <c r="O75" i="3" s="1"/>
  <c r="O57" i="3"/>
  <c r="AH46" i="3"/>
  <c r="AH44" i="3"/>
  <c r="AY57" i="3"/>
  <c r="AY58" i="3"/>
  <c r="AY74" i="3" s="1"/>
  <c r="AY75" i="3" s="1"/>
  <c r="AE57" i="3"/>
  <c r="AE58" i="3"/>
  <c r="AE74" i="3" s="1"/>
  <c r="AE75" i="3" s="1"/>
  <c r="T44" i="3"/>
  <c r="T46" i="3"/>
  <c r="N5" i="8"/>
  <c r="I5" i="8"/>
  <c r="L44" i="3"/>
  <c r="L46" i="3"/>
  <c r="X44" i="3"/>
  <c r="X46" i="3"/>
  <c r="K58" i="3"/>
  <c r="K74" i="3" s="1"/>
  <c r="K75" i="3" s="1"/>
  <c r="K57" i="3"/>
  <c r="AI46" i="3"/>
  <c r="AI44" i="3"/>
  <c r="BI59" i="3"/>
  <c r="BG47" i="3"/>
  <c r="BF47" i="3"/>
  <c r="AB44" i="3"/>
  <c r="AB46" i="3"/>
  <c r="S59" i="3" l="1"/>
  <c r="BK46" i="3"/>
  <c r="BK47" i="3" s="1"/>
  <c r="BK29" i="3"/>
  <c r="BK30" i="3" s="1"/>
  <c r="BK42" i="3"/>
  <c r="BK43" i="3"/>
  <c r="BK73" i="3" s="1"/>
  <c r="BK75" i="3" s="1"/>
  <c r="BL52" i="3"/>
  <c r="BL40" i="3"/>
  <c r="AA59" i="3"/>
  <c r="R59" i="3"/>
  <c r="T59" i="3"/>
  <c r="O59" i="3"/>
  <c r="K59" i="3"/>
  <c r="BK59" i="3"/>
  <c r="AF59" i="3"/>
  <c r="AE59" i="3"/>
  <c r="AU59" i="3"/>
  <c r="AD59" i="3"/>
  <c r="L59" i="3"/>
  <c r="V59" i="3"/>
  <c r="BG59" i="3"/>
  <c r="AX59" i="3"/>
  <c r="BC59" i="3"/>
  <c r="AF46" i="3"/>
  <c r="AF47" i="3" s="1"/>
  <c r="P59" i="3"/>
  <c r="R47" i="3"/>
  <c r="V47" i="3"/>
  <c r="W47" i="3"/>
  <c r="L47" i="3"/>
  <c r="AE47" i="3"/>
  <c r="AB47" i="3"/>
  <c r="AL47" i="3"/>
  <c r="K47" i="3"/>
  <c r="Z47" i="3"/>
  <c r="BB59" i="3"/>
  <c r="AM47" i="3"/>
  <c r="AL59" i="3"/>
  <c r="AT59" i="3"/>
  <c r="O47" i="3"/>
  <c r="AN39" i="3"/>
  <c r="AN54" i="3"/>
  <c r="AN17" i="3"/>
  <c r="AN27" i="3" s="1"/>
  <c r="J59" i="3"/>
  <c r="N47" i="3"/>
  <c r="T47" i="3"/>
  <c r="AJ57" i="3"/>
  <c r="AJ58" i="3"/>
  <c r="AJ74" i="3" s="1"/>
  <c r="AY59" i="3"/>
  <c r="N59" i="3"/>
  <c r="S47" i="3"/>
  <c r="AH47" i="3"/>
  <c r="W59" i="3"/>
  <c r="AM59" i="3"/>
  <c r="X47" i="3"/>
  <c r="Z59" i="3"/>
  <c r="AI59" i="3"/>
  <c r="P47" i="3"/>
  <c r="AJ42" i="3"/>
  <c r="AJ43" i="3"/>
  <c r="AJ73" i="3" s="1"/>
  <c r="AD47" i="3"/>
  <c r="BF59" i="3"/>
  <c r="BJ59" i="3"/>
  <c r="AA47" i="3"/>
  <c r="AJ29" i="3"/>
  <c r="AJ30" i="3" s="1"/>
  <c r="AJ28" i="3"/>
  <c r="AK28" i="3" s="1"/>
  <c r="AL28" i="3" s="1"/>
  <c r="AM28" i="3" s="1"/>
  <c r="AI47" i="3"/>
  <c r="J47" i="3"/>
  <c r="AH59" i="3"/>
  <c r="BK44" i="3" l="1"/>
  <c r="AN29" i="3"/>
  <c r="AN30" i="3" s="1"/>
  <c r="AR39" i="3"/>
  <c r="AR54" i="3"/>
  <c r="AN57" i="3"/>
  <c r="AN58" i="3"/>
  <c r="AN74" i="3" s="1"/>
  <c r="AJ59" i="3"/>
  <c r="AN28" i="3"/>
  <c r="AN43" i="3"/>
  <c r="AN73" i="3" s="1"/>
  <c r="AN42" i="3"/>
  <c r="AJ75" i="3"/>
  <c r="AJ44" i="3"/>
  <c r="AJ46" i="3"/>
  <c r="AN75" i="3" l="1"/>
  <c r="AN59" i="3"/>
  <c r="AN44" i="3"/>
  <c r="AN46" i="3"/>
  <c r="AV54" i="3"/>
  <c r="AV39" i="3"/>
  <c r="AV17" i="3"/>
  <c r="AV27" i="3" s="1"/>
  <c r="AJ47" i="3"/>
  <c r="AV46" i="3" l="1"/>
  <c r="AV29" i="3"/>
  <c r="AV30" i="3"/>
  <c r="AZ54" i="3"/>
  <c r="AZ39" i="3"/>
  <c r="AZ17" i="3"/>
  <c r="AZ27" i="3" s="1"/>
  <c r="AV43" i="3"/>
  <c r="AV73" i="3" s="1"/>
  <c r="AV42" i="3"/>
  <c r="AN47" i="3"/>
  <c r="AV58" i="3"/>
  <c r="AV74" i="3" s="1"/>
  <c r="AV57" i="3"/>
  <c r="AV44" i="3" l="1"/>
  <c r="AV59" i="3"/>
  <c r="AZ29" i="3"/>
  <c r="AZ30" i="3" s="1"/>
  <c r="AZ46" i="3"/>
  <c r="AZ42" i="3"/>
  <c r="AZ43" i="3"/>
  <c r="AZ73" i="3" s="1"/>
  <c r="AZ58" i="3"/>
  <c r="AZ74" i="3" s="1"/>
  <c r="AZ57" i="3"/>
  <c r="BD54" i="3"/>
  <c r="BD39" i="3"/>
  <c r="BD17" i="3"/>
  <c r="BD27" i="3" s="1"/>
  <c r="AV75" i="3"/>
  <c r="AV47" i="3"/>
  <c r="AZ59" i="3" l="1"/>
  <c r="AZ44" i="3"/>
  <c r="AZ75" i="3"/>
  <c r="AZ47" i="3"/>
  <c r="BD29" i="3"/>
  <c r="BD30" i="3" s="1"/>
  <c r="BD46" i="3"/>
  <c r="BD42" i="3"/>
  <c r="BD43" i="3"/>
  <c r="BD73" i="3" s="1"/>
  <c r="BD57" i="3"/>
  <c r="BD58" i="3"/>
  <c r="BD74" i="3" s="1"/>
  <c r="BH39" i="3"/>
  <c r="BH54" i="3"/>
  <c r="BH17" i="3"/>
  <c r="BH27" i="3" s="1"/>
  <c r="BD47" i="3" l="1"/>
  <c r="BH58" i="3"/>
  <c r="BH74" i="3" s="1"/>
  <c r="BH43" i="3"/>
  <c r="BH73" i="3" s="1"/>
  <c r="BH42" i="3"/>
  <c r="BL39" i="3"/>
  <c r="BL54" i="3"/>
  <c r="BL17" i="3"/>
  <c r="BL27" i="3" s="1"/>
  <c r="BD59" i="3"/>
  <c r="BD75" i="3"/>
  <c r="BD44" i="3"/>
  <c r="BH29" i="3"/>
  <c r="BH30" i="3" s="1"/>
  <c r="BH46" i="3"/>
  <c r="BH44" i="3" l="1"/>
  <c r="BH75" i="3"/>
  <c r="BL58" i="3"/>
  <c r="BL74" i="3" s="1"/>
  <c r="BH47" i="3"/>
  <c r="BH59" i="3"/>
  <c r="BL46" i="3"/>
  <c r="BL29" i="3"/>
  <c r="BL30" i="3" s="1"/>
  <c r="BL42" i="3"/>
  <c r="BL43" i="3"/>
  <c r="BL73" i="3" s="1"/>
  <c r="BL75" i="3" l="1"/>
  <c r="BL59" i="3"/>
  <c r="BL47" i="3"/>
  <c r="BL44" i="3"/>
  <c r="F83" i="3" l="1"/>
  <c r="G83" i="3"/>
  <c r="H83" i="3"/>
  <c r="I83" i="3"/>
  <c r="J83" i="3"/>
  <c r="K83" i="3"/>
  <c r="L83" i="3"/>
  <c r="F69" i="3"/>
  <c r="F71" i="3" s="1"/>
  <c r="F77" i="3" s="1"/>
  <c r="G69" i="3"/>
  <c r="G71" i="3" s="1"/>
  <c r="G77" i="3" s="1"/>
  <c r="H69" i="3"/>
  <c r="H71" i="3" s="1"/>
  <c r="H77" i="3" s="1"/>
  <c r="I69" i="3"/>
  <c r="I71" i="3" s="1"/>
  <c r="I77" i="3" s="1"/>
  <c r="J69" i="3"/>
  <c r="J71" i="3" s="1"/>
  <c r="J77" i="3" s="1"/>
  <c r="G5" i="8"/>
  <c r="J5" i="8" s="1"/>
  <c r="L69" i="3" l="1"/>
  <c r="L71" i="3" s="1"/>
  <c r="L77" i="3" s="1"/>
  <c r="K69" i="3"/>
  <c r="K71" i="3" s="1"/>
  <c r="K77" i="3" s="1"/>
  <c r="E5" i="8"/>
  <c r="L5" i="8"/>
  <c r="O5" i="8" s="1"/>
  <c r="E11" i="9" l="1"/>
  <c r="F11" i="9"/>
  <c r="G11" i="9"/>
  <c r="H11" i="9"/>
  <c r="I11" i="9"/>
  <c r="J11" i="9"/>
  <c r="K11" i="9"/>
  <c r="K12" i="9" l="1"/>
  <c r="G5" i="1"/>
  <c r="B14" i="1"/>
  <c r="B18" i="1"/>
  <c r="AO17" i="3"/>
  <c r="AO27" i="3" s="1"/>
  <c r="AO46" i="3" s="1"/>
  <c r="AP18" i="3"/>
  <c r="AQ18" i="3"/>
  <c r="AR18" i="3"/>
  <c r="AO28" i="3"/>
  <c r="AO29" i="3"/>
  <c r="AO30" i="3"/>
  <c r="AO38" i="3"/>
  <c r="AO42" i="3" s="1"/>
  <c r="AO43" i="3" l="1"/>
  <c r="AO73" i="3" s="1"/>
  <c r="G11" i="1"/>
  <c r="D6" i="1"/>
  <c r="AO53" i="3"/>
  <c r="AR38" i="3"/>
  <c r="AR17" i="3"/>
  <c r="AR27" i="3" s="1"/>
  <c r="AQ38" i="3"/>
  <c r="AQ17" i="3"/>
  <c r="AQ27" i="3" s="1"/>
  <c r="AO47" i="3"/>
  <c r="AP38" i="3"/>
  <c r="AP17" i="3"/>
  <c r="AP27" i="3" s="1"/>
  <c r="AP28" i="3" s="1"/>
  <c r="AQ28" i="3" s="1"/>
  <c r="AO44" i="3" l="1"/>
  <c r="AO57" i="3"/>
  <c r="AO58" i="3"/>
  <c r="AO74" i="3" s="1"/>
  <c r="AO75" i="3" s="1"/>
  <c r="AR28" i="3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AP29" i="3"/>
  <c r="AP46" i="3"/>
  <c r="AP30" i="3"/>
  <c r="AP53" i="3"/>
  <c r="AP42" i="3"/>
  <c r="AP43" i="3"/>
  <c r="AP73" i="3" s="1"/>
  <c r="D13" i="8"/>
  <c r="I13" i="8" s="1"/>
  <c r="AQ29" i="3"/>
  <c r="AQ30" i="3" s="1"/>
  <c r="AQ46" i="3"/>
  <c r="AQ42" i="3"/>
  <c r="AQ53" i="3"/>
  <c r="AQ43" i="3"/>
  <c r="AQ73" i="3" s="1"/>
  <c r="AR29" i="3"/>
  <c r="AR46" i="3"/>
  <c r="AR30" i="3"/>
  <c r="AR53" i="3"/>
  <c r="AR43" i="3"/>
  <c r="AR73" i="3" s="1"/>
  <c r="AR42" i="3"/>
  <c r="AR44" i="3" s="1"/>
  <c r="AO59" i="3" l="1"/>
  <c r="AP44" i="3"/>
  <c r="AQ47" i="3"/>
  <c r="AR58" i="3"/>
  <c r="AR74" i="3" s="1"/>
  <c r="AR75" i="3" s="1"/>
  <c r="AR57" i="3"/>
  <c r="AR59" i="3" s="1"/>
  <c r="AR47" i="3"/>
  <c r="AP57" i="3"/>
  <c r="AP58" i="3"/>
  <c r="AP74" i="3" s="1"/>
  <c r="AP75" i="3" s="1"/>
  <c r="AQ57" i="3"/>
  <c r="AQ58" i="3"/>
  <c r="AQ74" i="3" s="1"/>
  <c r="AQ75" i="3" s="1"/>
  <c r="AQ44" i="3"/>
  <c r="AP47" i="3"/>
  <c r="AQ59" i="3" l="1"/>
  <c r="AP59" i="3"/>
  <c r="E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E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E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E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E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AO86" i="3"/>
  <c r="AP86" i="3"/>
  <c r="AQ86" i="3"/>
  <c r="AR86" i="3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BE5" i="9"/>
  <c r="BF5" i="9"/>
  <c r="BG5" i="9"/>
  <c r="BH5" i="9"/>
  <c r="BI5" i="9"/>
  <c r="BJ5" i="9"/>
  <c r="BK5" i="9"/>
  <c r="BL5" i="9"/>
  <c r="BM5" i="9"/>
  <c r="BN5" i="9"/>
  <c r="BO5" i="9"/>
  <c r="BP5" i="9"/>
  <c r="BQ5" i="9"/>
  <c r="BR5" i="9"/>
  <c r="BS5" i="9"/>
  <c r="BT5" i="9"/>
  <c r="BU5" i="9"/>
  <c r="BV5" i="9"/>
  <c r="BW5" i="9"/>
  <c r="B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P6" i="9"/>
  <c r="BQ6" i="9"/>
  <c r="BR6" i="9"/>
  <c r="BS6" i="9"/>
  <c r="BT6" i="9"/>
  <c r="BU6" i="9"/>
  <c r="BV6" i="9"/>
  <c r="BW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D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BE8" i="9"/>
  <c r="BF8" i="9"/>
  <c r="BG8" i="9"/>
  <c r="BH8" i="9"/>
  <c r="BI8" i="9"/>
  <c r="BJ8" i="9"/>
  <c r="BK8" i="9"/>
  <c r="BL8" i="9"/>
  <c r="BM8" i="9"/>
  <c r="BN8" i="9"/>
  <c r="BO8" i="9"/>
  <c r="BP8" i="9"/>
  <c r="BQ8" i="9"/>
  <c r="BR8" i="9"/>
  <c r="BS8" i="9"/>
  <c r="BT8" i="9"/>
  <c r="BU8" i="9"/>
  <c r="BV8" i="9"/>
  <c r="BW8" i="9"/>
  <c r="D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BU9" i="9"/>
  <c r="BV9" i="9"/>
  <c r="BW9" i="9"/>
  <c r="D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BE11" i="9"/>
  <c r="BF11" i="9"/>
  <c r="BG11" i="9"/>
  <c r="BH11" i="9"/>
  <c r="BI11" i="9"/>
  <c r="BJ11" i="9"/>
  <c r="BK11" i="9"/>
  <c r="BL11" i="9"/>
  <c r="BM11" i="9"/>
  <c r="BN11" i="9"/>
  <c r="BO11" i="9"/>
  <c r="BP11" i="9"/>
  <c r="BQ11" i="9"/>
  <c r="BR11" i="9"/>
  <c r="BS11" i="9"/>
  <c r="BT11" i="9"/>
  <c r="BU11" i="9"/>
  <c r="BV11" i="9"/>
  <c r="BW11" i="9"/>
  <c r="G12" i="9"/>
  <c r="O12" i="9"/>
  <c r="S12" i="9"/>
  <c r="W12" i="9"/>
  <c r="AA12" i="9"/>
  <c r="AE12" i="9"/>
  <c r="AI12" i="9"/>
  <c r="AM12" i="9"/>
  <c r="AQ12" i="9"/>
  <c r="AU12" i="9"/>
  <c r="AY12" i="9"/>
  <c r="BC12" i="9"/>
  <c r="BG12" i="9"/>
  <c r="BK12" i="9"/>
  <c r="BO12" i="9"/>
  <c r="BS12" i="9"/>
  <c r="BW12" i="9"/>
  <c r="H13" i="9"/>
  <c r="O13" i="9"/>
  <c r="O14" i="9"/>
  <c r="H16" i="9"/>
  <c r="D4" i="1"/>
  <c r="D5" i="1"/>
  <c r="B10" i="1"/>
  <c r="G14" i="1"/>
  <c r="B15" i="1"/>
  <c r="D15" i="1"/>
  <c r="G16" i="1"/>
  <c r="G17" i="1"/>
  <c r="G18" i="1"/>
  <c r="B19" i="1"/>
  <c r="B30" i="1"/>
  <c r="B31" i="1"/>
  <c r="B32" i="1"/>
  <c r="B35" i="1"/>
  <c r="B37" i="1"/>
  <c r="B38" i="1"/>
  <c r="C39" i="1"/>
  <c r="C40" i="1"/>
  <c r="C41" i="1"/>
  <c r="C47" i="1"/>
  <c r="D47" i="1"/>
  <c r="C48" i="1"/>
  <c r="C49" i="1"/>
  <c r="D49" i="1"/>
  <c r="C56" i="1"/>
  <c r="C58" i="1"/>
  <c r="B20" i="6"/>
  <c r="B29" i="6"/>
  <c r="B20" i="5"/>
  <c r="B29" i="5"/>
  <c r="B33" i="5"/>
  <c r="B37" i="5"/>
  <c r="B20" i="7"/>
  <c r="B29" i="7"/>
  <c r="D2" i="8"/>
  <c r="I2" i="8"/>
  <c r="N2" i="8"/>
  <c r="E3" i="8"/>
  <c r="J3" i="8"/>
  <c r="O3" i="8"/>
  <c r="B4" i="8"/>
  <c r="E4" i="8"/>
  <c r="G4" i="8"/>
  <c r="J4" i="8"/>
  <c r="L4" i="8"/>
  <c r="O4" i="8"/>
  <c r="B6" i="8"/>
  <c r="E6" i="8"/>
  <c r="G6" i="8"/>
  <c r="J6" i="8"/>
  <c r="L6" i="8"/>
  <c r="O6" i="8"/>
  <c r="B7" i="8"/>
  <c r="E7" i="8"/>
  <c r="G7" i="8"/>
  <c r="J7" i="8"/>
  <c r="L7" i="8"/>
  <c r="O7" i="8"/>
  <c r="B8" i="8"/>
  <c r="E8" i="8"/>
  <c r="G8" i="8"/>
  <c r="J8" i="8"/>
  <c r="L8" i="8"/>
  <c r="O8" i="8"/>
  <c r="B9" i="8"/>
  <c r="E9" i="8"/>
  <c r="G9" i="8"/>
  <c r="J9" i="8"/>
  <c r="B10" i="8"/>
  <c r="E10" i="8"/>
  <c r="G10" i="8"/>
  <c r="J10" i="8"/>
  <c r="B11" i="8"/>
  <c r="E11" i="8"/>
  <c r="G11" i="8"/>
  <c r="J11" i="8"/>
  <c r="B12" i="8"/>
  <c r="E12" i="8"/>
  <c r="G12" i="8"/>
  <c r="J12" i="8"/>
  <c r="B13" i="8"/>
  <c r="E13" i="8"/>
  <c r="G13" i="8"/>
  <c r="J13" i="8"/>
  <c r="B14" i="8"/>
  <c r="E14" i="8"/>
  <c r="B15" i="8"/>
  <c r="E15" i="8"/>
  <c r="B16" i="8"/>
  <c r="B17" i="8"/>
  <c r="B18" i="8"/>
  <c r="D21" i="8"/>
  <c r="I21" i="8"/>
  <c r="N21" i="8"/>
  <c r="D22" i="8"/>
  <c r="I22" i="8"/>
  <c r="N22" i="8"/>
  <c r="E23" i="8"/>
  <c r="J23" i="8"/>
  <c r="O23" i="8"/>
</calcChain>
</file>

<file path=xl/sharedStrings.xml><?xml version="1.0" encoding="utf-8"?>
<sst xmlns="http://schemas.openxmlformats.org/spreadsheetml/2006/main" count="517" uniqueCount="363">
  <si>
    <t>Date mise à jour</t>
  </si>
  <si>
    <t>Plan de financement  acquisition</t>
  </si>
  <si>
    <t>Emplois</t>
  </si>
  <si>
    <t>Montants</t>
  </si>
  <si>
    <t>Resources</t>
  </si>
  <si>
    <t>Acquisition HT</t>
  </si>
  <si>
    <t>Acquisition murs HT</t>
  </si>
  <si>
    <t>Apport investisseurs</t>
  </si>
  <si>
    <t>Frais notaire HT</t>
  </si>
  <si>
    <t>Droits et honos notaire HT (acquisition)</t>
  </si>
  <si>
    <t>Financement bancaire</t>
  </si>
  <si>
    <t>Travaux HT</t>
  </si>
  <si>
    <t>Travaux HT (rénovation/construction)</t>
  </si>
  <si>
    <t>TVA travaux (10%)</t>
  </si>
  <si>
    <t>TVA travaux 10%</t>
  </si>
  <si>
    <t>TOTAL TTC</t>
  </si>
  <si>
    <t>TOTAL OPERATION TTC</t>
  </si>
  <si>
    <t>TOTAL RESSOURCES</t>
  </si>
  <si>
    <t>---</t>
  </si>
  <si>
    <t>Prix cible au m² HT</t>
  </si>
  <si>
    <t>Apport (25%)</t>
  </si>
  <si>
    <t>Surface cible en m²</t>
  </si>
  <si>
    <t>Emprunt (75%)</t>
  </si>
  <si>
    <t>Capex par m² HT</t>
  </si>
  <si>
    <t>Honoraires financement (3%)</t>
  </si>
  <si>
    <t>Honoraires recherche financt (3%)</t>
  </si>
  <si>
    <t>Taux des droits, taxes</t>
  </si>
  <si>
    <t>TF/m²</t>
  </si>
  <si>
    <t>Honoraires de gestion</t>
  </si>
  <si>
    <t>Taux de TVA</t>
  </si>
  <si>
    <t>Base</t>
  </si>
  <si>
    <t>Montant</t>
  </si>
  <si>
    <t>Droits de mutation</t>
  </si>
  <si>
    <t>Honoraires notaire HT</t>
  </si>
  <si>
    <t>TOTAL</t>
  </si>
  <si>
    <t>Financement bancaire (75%)</t>
  </si>
  <si>
    <t>Part autofinancement</t>
  </si>
  <si>
    <t>Part financement</t>
  </si>
  <si>
    <t>Part apport investisseur 1</t>
  </si>
  <si>
    <t>Part apport investisseur 2</t>
  </si>
  <si>
    <t>Total apport</t>
  </si>
  <si>
    <t xml:space="preserve">Financement acquisition </t>
  </si>
  <si>
    <t>part investisseur 1</t>
  </si>
  <si>
    <t>Part investisseur 2</t>
  </si>
  <si>
    <t>Total investisseurs</t>
  </si>
  <si>
    <t>Intérêts dûs sur CC</t>
  </si>
  <si>
    <t>1ère année capitalisée</t>
  </si>
  <si>
    <t xml:space="preserve">2ème année </t>
  </si>
  <si>
    <t>3ème année et suivantes</t>
  </si>
  <si>
    <t>Base apport</t>
  </si>
  <si>
    <t>Taux</t>
  </si>
  <si>
    <t>Base A1</t>
  </si>
  <si>
    <t>Base A2, A3…</t>
  </si>
  <si>
    <t>Coeff</t>
  </si>
  <si>
    <t>Coeff capi</t>
  </si>
  <si>
    <t>Base financement</t>
  </si>
  <si>
    <t>Part trésorerie</t>
  </si>
  <si>
    <t xml:space="preserve">Taux annuel d'amortissement des actifs </t>
  </si>
  <si>
    <t>5 ans</t>
  </si>
  <si>
    <t>10 ans</t>
  </si>
  <si>
    <t>15 ans</t>
  </si>
  <si>
    <t>Lot</t>
  </si>
  <si>
    <t>Locataire</t>
  </si>
  <si>
    <t>Surface</t>
  </si>
  <si>
    <t>loyer de base HT  
€/m²/an</t>
  </si>
  <si>
    <t>loyer de base annuel  HT/HC</t>
  </si>
  <si>
    <t>taux capi</t>
  </si>
  <si>
    <t>valeur</t>
  </si>
  <si>
    <t>34 logements seniors</t>
  </si>
  <si>
    <t>Résidents seniors</t>
  </si>
  <si>
    <t>Total</t>
  </si>
  <si>
    <t xml:space="preserve">Lot </t>
  </si>
  <si>
    <t>ETAT LOCATIF AU</t>
  </si>
  <si>
    <t>Locataire origine</t>
  </si>
  <si>
    <t>Nouveaux baux</t>
  </si>
  <si>
    <t>Espaces activité loisirs</t>
  </si>
  <si>
    <t>Surface  totale</t>
  </si>
  <si>
    <t>Surface Industrie légère</t>
  </si>
  <si>
    <t>Surface locaux techniques</t>
  </si>
  <si>
    <t>Type de bail</t>
  </si>
  <si>
    <t>Date début</t>
  </si>
  <si>
    <t>Date de fin</t>
  </si>
  <si>
    <t>Loyer annuel BAIL
HT et HC</t>
  </si>
  <si>
    <t>Indice référence</t>
  </si>
  <si>
    <t>Indice actuel</t>
  </si>
  <si>
    <t>Loyer annuel ACTUEL
HT et HC</t>
  </si>
  <si>
    <t>DG</t>
  </si>
  <si>
    <t>Provision charges</t>
  </si>
  <si>
    <t>Montant taxe foncière
12€/m²</t>
  </si>
  <si>
    <t>Montant taxe bureau</t>
  </si>
  <si>
    <t>TF refacturée</t>
  </si>
  <si>
    <t>TB refacturée</t>
  </si>
  <si>
    <t>Indice</t>
  </si>
  <si>
    <t>ESPACES LOUES</t>
  </si>
  <si>
    <t>ILC</t>
  </si>
  <si>
    <t>Non applicable</t>
  </si>
  <si>
    <t>oui</t>
  </si>
  <si>
    <t>NS</t>
  </si>
  <si>
    <t>TOTAL XXXX</t>
  </si>
  <si>
    <t>XXXX</t>
  </si>
  <si>
    <t>TOTAL ETAT LOCATIF</t>
  </si>
  <si>
    <t>MENU!A1</t>
  </si>
  <si>
    <t>Suface</t>
  </si>
  <si>
    <t>Parking</t>
  </si>
  <si>
    <t>Durée</t>
  </si>
  <si>
    <t>Date
d'effet</t>
  </si>
  <si>
    <t>Prochaine échéance</t>
  </si>
  <si>
    <t>Fin bail</t>
  </si>
  <si>
    <t>Loyer au 1/1/2016</t>
  </si>
  <si>
    <t>Indice de base</t>
  </si>
  <si>
    <t>Prov /an HT charges 2019</t>
  </si>
  <si>
    <t>La Chocolaterie</t>
  </si>
  <si>
    <t>9 rue de Cluj</t>
  </si>
  <si>
    <t>21000 Dijon</t>
  </si>
  <si>
    <t>Première triennalité</t>
  </si>
  <si>
    <t>Cinquième  triennalité</t>
  </si>
  <si>
    <t>Indexation loyer, charges</t>
  </si>
  <si>
    <t>indexation TF</t>
  </si>
  <si>
    <t>1TA1</t>
  </si>
  <si>
    <t>2TA1</t>
  </si>
  <si>
    <t>3TA1</t>
  </si>
  <si>
    <t>4TA1</t>
  </si>
  <si>
    <t>1TA2</t>
  </si>
  <si>
    <t>2TA2</t>
  </si>
  <si>
    <t>3TA2</t>
  </si>
  <si>
    <t>4TA2</t>
  </si>
  <si>
    <t>1TA3</t>
  </si>
  <si>
    <t>2TA3</t>
  </si>
  <si>
    <t>3TA3</t>
  </si>
  <si>
    <t>4TA3</t>
  </si>
  <si>
    <t>1TA4</t>
  </si>
  <si>
    <t>2TA4</t>
  </si>
  <si>
    <t>3TA4</t>
  </si>
  <si>
    <t>4TA4</t>
  </si>
  <si>
    <t>1TA5</t>
  </si>
  <si>
    <t>2TA5</t>
  </si>
  <si>
    <t>3TA5</t>
  </si>
  <si>
    <t>4TA5</t>
  </si>
  <si>
    <t>1TA6</t>
  </si>
  <si>
    <t>2TA6</t>
  </si>
  <si>
    <t>3TA6</t>
  </si>
  <si>
    <t>4TA6</t>
  </si>
  <si>
    <t>1TA7</t>
  </si>
  <si>
    <t>2TA7</t>
  </si>
  <si>
    <t>3TA7</t>
  </si>
  <si>
    <t>4TA7</t>
  </si>
  <si>
    <t>1TA8</t>
  </si>
  <si>
    <t>2TA8</t>
  </si>
  <si>
    <t>3TA8</t>
  </si>
  <si>
    <t>4TA8</t>
  </si>
  <si>
    <t>1TA9</t>
  </si>
  <si>
    <t>2TA9</t>
  </si>
  <si>
    <t>3TA9</t>
  </si>
  <si>
    <t>4TA9</t>
  </si>
  <si>
    <t>1TA10</t>
  </si>
  <si>
    <t>2TA10</t>
  </si>
  <si>
    <t>3TA10</t>
  </si>
  <si>
    <t>4TA10</t>
  </si>
  <si>
    <t>1TA11</t>
  </si>
  <si>
    <t>2TA11</t>
  </si>
  <si>
    <t>3TA11</t>
  </si>
  <si>
    <t>4TA11</t>
  </si>
  <si>
    <t>1TA12</t>
  </si>
  <si>
    <t>2TA12</t>
  </si>
  <si>
    <t>3TA12</t>
  </si>
  <si>
    <t>4TA12</t>
  </si>
  <si>
    <t>1T13</t>
  </si>
  <si>
    <t>2T13</t>
  </si>
  <si>
    <t>3TA13</t>
  </si>
  <si>
    <t>4TA13</t>
  </si>
  <si>
    <t>1TA14</t>
  </si>
  <si>
    <t>2TA14</t>
  </si>
  <si>
    <t>3TA14</t>
  </si>
  <si>
    <t>4TA14</t>
  </si>
  <si>
    <t>1TA15</t>
  </si>
  <si>
    <t>2TA15</t>
  </si>
  <si>
    <t>3TA15</t>
  </si>
  <si>
    <t>4TA15</t>
  </si>
  <si>
    <t>Franchise loyer</t>
  </si>
  <si>
    <t>Loyer de base HT</t>
  </si>
  <si>
    <t>Taxe foncière  (4,36€/m²)</t>
  </si>
  <si>
    <t>Provision pour charges (8,50€/m² HT)</t>
  </si>
  <si>
    <t xml:space="preserve"> </t>
  </si>
  <si>
    <t>Total HT</t>
  </si>
  <si>
    <t>Total cumulé HT</t>
  </si>
  <si>
    <t>Tva collectée</t>
  </si>
  <si>
    <t>Total TTC</t>
  </si>
  <si>
    <t>RECETTES</t>
  </si>
  <si>
    <t>Indexation charges</t>
  </si>
  <si>
    <t>Loyers et charges facturées HT</t>
  </si>
  <si>
    <t xml:space="preserve">Loyers perçus </t>
  </si>
  <si>
    <t>Taxe foncière refacturée (4,36€/m²)</t>
  </si>
  <si>
    <t>Provision pour charges (8,50€/m²)</t>
  </si>
  <si>
    <t>Assurance refacturée</t>
  </si>
  <si>
    <t>TOTAL LOYERS ET CHARGES FACTUREES HT</t>
  </si>
  <si>
    <t xml:space="preserve">TVA </t>
  </si>
  <si>
    <t>TOTAL LOYERS ET CHARGES FACTUREES  TTC</t>
  </si>
  <si>
    <t>TOTAL RECETTE HT</t>
  </si>
  <si>
    <t>TOTAL RECETTES (Loyers et charges) TTC</t>
  </si>
  <si>
    <t xml:space="preserve">DEPENSES </t>
  </si>
  <si>
    <t>Charges réelles centre HT</t>
  </si>
  <si>
    <t>Charges HT</t>
  </si>
  <si>
    <t>Honoraires gestion Pinel (5%)</t>
  </si>
  <si>
    <t>Taxe foncère</t>
  </si>
  <si>
    <t>Assurance PNO</t>
  </si>
  <si>
    <t>TOTAL CHARGES   HT</t>
  </si>
  <si>
    <t>TVA</t>
  </si>
  <si>
    <t>Charges TTC</t>
  </si>
  <si>
    <t>Autres hors TVA</t>
  </si>
  <si>
    <t>Intérêts compte courant</t>
  </si>
  <si>
    <t>Divers</t>
  </si>
  <si>
    <t>TOTAL AUTRES CHARGES hors TVA</t>
  </si>
  <si>
    <t>TOTAL DEPENSES TTC</t>
  </si>
  <si>
    <t>Tva déductible</t>
  </si>
  <si>
    <t>TVA DECAISSEE</t>
  </si>
  <si>
    <t>Trésorerie dégagée au cours de la période</t>
  </si>
  <si>
    <t xml:space="preserve">Trésorerie cumulée dégagée </t>
  </si>
  <si>
    <t>RESULTAT DEGAGE AU COURS DE LA PERIODE</t>
  </si>
  <si>
    <t>RESULTAT CUMULE DEGAGE AU COURS DE LA PERIODE</t>
  </si>
  <si>
    <t>Echéancier sans différé</t>
  </si>
  <si>
    <t>Prêteur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</si>
  <si>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</si>
  <si>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</si>
  <si>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</si>
  <si>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</si>
  <si>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</si>
  <si>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</si>
  <si>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</si>
  <si>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</si>
  <si>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</si>
  <si>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</si>
  <si>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</si>
  <si>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</si>
  <si>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Emprunteur</t>
  </si>
  <si>
    <t>date</t>
  </si>
  <si>
    <t>Date de prise d'effet</t>
  </si>
  <si>
    <t>N° d'échéance</t>
  </si>
  <si>
    <t>CRD début</t>
  </si>
  <si>
    <t>Montant iniital</t>
  </si>
  <si>
    <t>Amortissement</t>
  </si>
  <si>
    <t>Nombre de paiement par an</t>
  </si>
  <si>
    <t>CRD fin</t>
  </si>
  <si>
    <t>Taux d'intérêt + marge (swappé/cappé)</t>
  </si>
  <si>
    <t>Intérêts</t>
  </si>
  <si>
    <t>CRD au 31/08/2014</t>
  </si>
  <si>
    <t>Echéance</t>
  </si>
  <si>
    <t>Typologie d'amortissement</t>
  </si>
  <si>
    <t>Échéance définitive</t>
  </si>
  <si>
    <t>Intérêts capitalisés si applicable</t>
  </si>
  <si>
    <t>N/A</t>
  </si>
  <si>
    <t>Total payé annuel</t>
  </si>
  <si>
    <t>Retard de paiement du capital le cas échéant</t>
  </si>
  <si>
    <t>Intérets payés</t>
  </si>
  <si>
    <t>Somme échéances décalées</t>
  </si>
  <si>
    <t>Coût total crédit</t>
  </si>
  <si>
    <t>Lissage sur durée restante</t>
  </si>
  <si>
    <t>Libellé</t>
  </si>
  <si>
    <t>Nombre d'années détention</t>
  </si>
  <si>
    <t>VNC</t>
  </si>
  <si>
    <t>Encours de crédit</t>
  </si>
  <si>
    <t>Loyer annuel non réévalué</t>
  </si>
  <si>
    <t>Taux annuel  de réévaluation projeté</t>
  </si>
  <si>
    <t>Loyer révisé</t>
  </si>
  <si>
    <t>Taux de capitalisation attendu</t>
  </si>
  <si>
    <t>Prix de  cession projeté</t>
  </si>
  <si>
    <t>Plus value</t>
  </si>
  <si>
    <t>Taux IS</t>
  </si>
  <si>
    <t>Impôt PV</t>
  </si>
  <si>
    <t>Trésorerie nette d'IS</t>
  </si>
  <si>
    <t>Investissement</t>
  </si>
  <si>
    <t>Multiple annuel</t>
  </si>
  <si>
    <t>Multiple appliqué</t>
  </si>
  <si>
    <t>Valeur de sortie</t>
  </si>
  <si>
    <t>TRI opération/ 15 ans</t>
  </si>
  <si>
    <t>TRI opération/ 10 ans</t>
  </si>
  <si>
    <t>TRI opération/5 ans</t>
  </si>
  <si>
    <t>Investissement initial</t>
  </si>
  <si>
    <t>Acquisition murs</t>
  </si>
  <si>
    <t xml:space="preserve">Total investissement </t>
  </si>
  <si>
    <t>Charge d'emprunt A1</t>
  </si>
  <si>
    <t>Loyers perçus A1</t>
  </si>
  <si>
    <t>Charge d'emprunt A2</t>
  </si>
  <si>
    <t>Loyers perçus A2</t>
  </si>
  <si>
    <t>Charge d'emprunt A3</t>
  </si>
  <si>
    <t>Loyers perçus A3</t>
  </si>
  <si>
    <t>Charge d'emprunt A4</t>
  </si>
  <si>
    <t>Loyers perçus A4</t>
  </si>
  <si>
    <t>Charge d'emprunt A5</t>
  </si>
  <si>
    <t>Loyers perçus A5</t>
  </si>
  <si>
    <t>Charge d'emprunt A6</t>
  </si>
  <si>
    <t>Loyers perçus A6</t>
  </si>
  <si>
    <t>Charge d'emprunt A7</t>
  </si>
  <si>
    <t>Loyers perçus A7</t>
  </si>
  <si>
    <t>Charge d'emprunt A8</t>
  </si>
  <si>
    <t>Loyers perçus A8</t>
  </si>
  <si>
    <t>Charge d'emprunt A9</t>
  </si>
  <si>
    <t>Loyers perçus A9</t>
  </si>
  <si>
    <t>Charge d'emprunt A10</t>
  </si>
  <si>
    <t>Loyers perçus A10</t>
  </si>
  <si>
    <t>Charge d'emprunt A11</t>
  </si>
  <si>
    <t>Loyers perçus A11</t>
  </si>
  <si>
    <t>Charge d'emprunt A12</t>
  </si>
  <si>
    <t>Loyers perçus A12</t>
  </si>
  <si>
    <t>Cession</t>
  </si>
  <si>
    <t>Rbt capital</t>
  </si>
  <si>
    <t>Trésorerie cumulée</t>
  </si>
  <si>
    <t>TRI</t>
  </si>
  <si>
    <t xml:space="preserve">TRI </t>
  </si>
  <si>
    <t>Locations</t>
  </si>
  <si>
    <t>Taux de TVA sur services</t>
  </si>
  <si>
    <t>TVA services</t>
  </si>
  <si>
    <t>Honoraires divers</t>
  </si>
  <si>
    <t>Honoraires architecte+permis</t>
  </si>
  <si>
    <t>Honoraires juridiques</t>
  </si>
  <si>
    <t>Honoraires recherche de fnct</t>
  </si>
  <si>
    <t>TOTAL HONORAIRES</t>
  </si>
  <si>
    <t>Relais TVA</t>
  </si>
  <si>
    <t>Baux habitation</t>
  </si>
  <si>
    <t>Echéancier avec différé</t>
  </si>
  <si>
    <t>A13</t>
  </si>
  <si>
    <t>A14</t>
  </si>
  <si>
    <t>A15</t>
  </si>
  <si>
    <t>A16</t>
  </si>
  <si>
    <t>A17</t>
  </si>
  <si>
    <t>A18</t>
  </si>
  <si>
    <t>SCI</t>
  </si>
  <si>
    <t>Période travaux</t>
  </si>
  <si>
    <t>Valeur résiduelle si applicable (15%)</t>
  </si>
  <si>
    <t>Intérets payés sur différé</t>
  </si>
  <si>
    <t>Coût total différé</t>
  </si>
  <si>
    <t>Coût total amortissement</t>
  </si>
  <si>
    <t>Base retenue pour évaluation coût financier</t>
  </si>
  <si>
    <t>Intérêts payés sur différé/2</t>
  </si>
  <si>
    <t>Amortissement, durée en années</t>
  </si>
  <si>
    <t>Mobilier et équipements</t>
  </si>
  <si>
    <t>Aménagements agricoles</t>
  </si>
  <si>
    <t>Financt banc meubles</t>
  </si>
  <si>
    <t>Imprévus (5% travaux et honos)</t>
  </si>
  <si>
    <t>Fnct aménagt agricole</t>
  </si>
  <si>
    <t>Espaces loués</t>
  </si>
  <si>
    <t>Charges récupérables/loyers</t>
  </si>
  <si>
    <t>Surface totale</t>
  </si>
  <si>
    <t>Baux à créer</t>
  </si>
  <si>
    <t>Deuxième triennalité</t>
  </si>
  <si>
    <t>Troisième  triennalité</t>
  </si>
  <si>
    <t>Quatrième  triennalité</t>
  </si>
  <si>
    <t>Versement en compte courant d'associés</t>
  </si>
  <si>
    <t>Aménagements extérieurs, VRD</t>
  </si>
  <si>
    <t>Frais financiers intercalaires</t>
  </si>
  <si>
    <t xml:space="preserve">Intérêt crédit immobilier </t>
  </si>
  <si>
    <t>Amortissement crédits matériels</t>
  </si>
  <si>
    <t>Amortissement crédits immobilier</t>
  </si>
  <si>
    <t>Intérêt crédit matériels</t>
  </si>
  <si>
    <t>Durée amortissement immobilier</t>
  </si>
  <si>
    <t>Durée amortissement autres</t>
  </si>
  <si>
    <t>Taux amort autres</t>
  </si>
  <si>
    <t>Taux d'amort immob</t>
  </si>
  <si>
    <t>Total amorti immobilier</t>
  </si>
  <si>
    <t>Total amorti autres</t>
  </si>
  <si>
    <t>Charge d'emprunt A13</t>
  </si>
  <si>
    <t>Charge d'emprunt A14</t>
  </si>
  <si>
    <t>Charge d'emprunt A15</t>
  </si>
  <si>
    <t>Total opération 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</si>
</sst>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#,##0\ &quot;€&quot;;[Red]\-#,##0\ &quot;€&quot;"/>
    <numFmt numFmtId="164" formatCode="_-* #,##0.00\ _€_-;\-* #,##0.00\ _€_-;_-* \-??\ _€_-;_-@_-"/>
    <numFmt numFmtId="165" formatCode="d/m/yy;@"/>
    <numFmt numFmtId="166" formatCode="#,##0\ _€;\-#,##0\ _€"/>
    <numFmt numFmtId="167" formatCode="#,##0&quot; €&quot;"/>
    <numFmt numFmtId="168" formatCode="0\ %"/>
    <numFmt numFmtId="169" formatCode="0.00\ %"/>
    <numFmt numFmtId="170" formatCode="#,##0&quot; m²&quot;"/>
    <numFmt numFmtId="171" formatCode="#,##0&quot; €/m²&quot;"/>
    <numFmt numFmtId="172" formatCode="#,##0&quot; m2&quot;"/>
    <numFmt numFmtId="173" formatCode="_-* #,##0.00&quot; €&quot;_-;\-* #,##0.00&quot; €&quot;_-;_-* \-??&quot; €&quot;_-;_-@_-"/>
    <numFmt numFmtId="174" formatCode="#,##0.00&quot; m²&quot;"/>
    <numFmt numFmtId="175" formatCode="dd/mm/yy;@"/>
    <numFmt numFmtId="176" formatCode="#,##0.00&quot; €&quot;"/>
    <numFmt numFmtId="177" formatCode="_-* #,##0&quot; €&quot;_-;\-* #,##0&quot; €&quot;_-;_-* \-??&quot; €&quot;_-;_-@_-"/>
    <numFmt numFmtId="178" formatCode="#,##0.0&quot; mois&quot;;;;"/>
    <numFmt numFmtId="179" formatCode="#,##0&quot; €&quot;;\-#,##0&quot; €&quot;"/>
    <numFmt numFmtId="180" formatCode="_-* #,##0\ _€_-;\-* #,##0\ _€_-;_-* \-??\ _€_-;_-@_-"/>
    <numFmt numFmtId="181" formatCode="#,##0\ _€"/>
    <numFmt numFmtId="182" formatCode="#,##0&quot; €&quot;;[Red]\-#,##0&quot; €&quot;"/>
    <numFmt numFmtId="183" formatCode="#,##0.00&quot; €&quot;;[Red]\-#,##0.00&quot; €&quot;"/>
    <numFmt numFmtId="184" formatCode="#,##0_ ;[Red]\-#,##0\ "/>
    <numFmt numFmtId="185" formatCode="#,##0_ ;\-#,##0\ "/>
    <numFmt numFmtId="186" formatCode="0.000%"/>
    <numFmt numFmtId="187" formatCode="#,##0.00\ _€"/>
    <numFmt numFmtId="188" formatCode="#,##0\ &quot;€&quot;"/>
  </numFmts>
  <fonts count="2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i/>
      <sz val="11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i/>
      <sz val="14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i/>
      <sz val="10"/>
      <color rgb="FFFF0000"/>
      <name val="Arial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sz val="8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8" tint="0.79989013336588644"/>
        <bgColor rgb="FFDDEBF7"/>
      </patternFill>
    </fill>
    <fill>
      <patternFill patternType="solid">
        <fgColor rgb="FFDDEBF7"/>
        <bgColor rgb="FFDEEBF7"/>
      </patternFill>
    </fill>
    <fill>
      <patternFill patternType="solid">
        <fgColor rgb="FF9BC2E6"/>
        <bgColor rgb="FF9DC3E6"/>
      </patternFill>
    </fill>
    <fill>
      <patternFill patternType="solid">
        <fgColor theme="8" tint="0.39988402966399123"/>
        <bgColor rgb="FF9BC2E6"/>
      </patternFill>
    </fill>
    <fill>
      <patternFill patternType="solid">
        <fgColor theme="4"/>
        <bgColor rgb="FF666699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 tint="-0.249977111117893"/>
        <bgColor rgb="FF9DC3E6"/>
      </patternFill>
    </fill>
    <fill>
      <patternFill patternType="solid">
        <fgColor rgb="FFF0F0F0"/>
        <bgColor rgb="FFF2F2F2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9" tint="0.79989013336588644"/>
        <bgColor rgb="FFEDEDED"/>
      </patternFill>
    </fill>
    <fill>
      <patternFill patternType="solid">
        <fgColor theme="6" tint="0.79989013336588644"/>
        <bgColor rgb="FFF0F0F0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0" tint="-4.9989318521683403E-2"/>
        <bgColor rgb="FFF0F0F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ashDotDot">
        <color auto="1"/>
      </right>
      <top style="thin">
        <color auto="1"/>
      </top>
      <bottom style="double">
        <color auto="1"/>
      </bottom>
      <diagonal/>
    </border>
    <border>
      <left style="dashDotDot">
        <color auto="1"/>
      </left>
      <right style="dashDotDot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ashDotDot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ashDotDot">
        <color auto="1"/>
      </right>
      <top/>
      <bottom style="double">
        <color auto="1"/>
      </bottom>
      <diagonal/>
    </border>
    <border>
      <left style="dashDotDot">
        <color auto="1"/>
      </left>
      <right style="dashDotDot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Dot">
        <color auto="1"/>
      </right>
      <top/>
      <bottom style="thin">
        <color auto="1"/>
      </bottom>
      <diagonal/>
    </border>
    <border>
      <left style="dashDotDot">
        <color auto="1"/>
      </left>
      <right style="dashDotDot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double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Dot">
        <color auto="1"/>
      </right>
      <top style="double">
        <color auto="1"/>
      </top>
      <bottom/>
      <diagonal/>
    </border>
    <border>
      <left style="dashDot">
        <color auto="1"/>
      </left>
      <right style="dashDot">
        <color auto="1"/>
      </right>
      <top style="double">
        <color auto="1"/>
      </top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dashDot">
        <color auto="1"/>
      </left>
      <right style="dashDot">
        <color auto="1"/>
      </right>
      <top/>
      <bottom style="thin">
        <color auto="1"/>
      </bottom>
      <diagonal/>
    </border>
    <border>
      <left/>
      <right style="dashDot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ashDot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ashDot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ashDot">
        <color auto="1"/>
      </left>
      <right/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DashDotDot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/>
      <bottom/>
      <diagonal/>
    </border>
  </borders>
  <cellStyleXfs count="7">
    <xf numFmtId="0" fontId="0" fillId="0" borderId="0"/>
    <xf numFmtId="164" fontId="20" fillId="0" borderId="0"/>
    <xf numFmtId="173" fontId="20" fillId="0" borderId="0"/>
    <xf numFmtId="168" fontId="20" fillId="0" borderId="0"/>
    <xf numFmtId="0" fontId="5" fillId="0" borderId="0"/>
    <xf numFmtId="164" fontId="2" fillId="0" borderId="0"/>
    <xf numFmtId="0" fontId="1" fillId="0" borderId="0"/>
  </cellStyleXfs>
  <cellXfs count="513">
    <xf numFmtId="0" fontId="0" fillId="0" borderId="0" xfId="0"/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6" fontId="0" fillId="0" borderId="0" xfId="0" applyNumberFormat="1"/>
    <xf numFmtId="0" fontId="0" fillId="0" borderId="5" xfId="0" applyBorder="1"/>
    <xf numFmtId="166" fontId="20" fillId="2" borderId="6" xfId="1" applyNumberFormat="1" applyFill="1" applyBorder="1"/>
    <xf numFmtId="166" fontId="20" fillId="2" borderId="7" xfId="1" applyNumberFormat="1" applyFill="1" applyBorder="1"/>
    <xf numFmtId="166" fontId="20" fillId="0" borderId="8" xfId="1" applyNumberFormat="1" applyBorder="1"/>
    <xf numFmtId="166" fontId="20" fillId="0" borderId="9" xfId="1" applyNumberFormat="1" applyBorder="1"/>
    <xf numFmtId="0" fontId="0" fillId="0" borderId="10" xfId="0" applyBorder="1"/>
    <xf numFmtId="166" fontId="20" fillId="2" borderId="11" xfId="1" applyNumberFormat="1" applyFill="1" applyBorder="1"/>
    <xf numFmtId="166" fontId="20" fillId="2" borderId="12" xfId="1" applyNumberFormat="1" applyFill="1" applyBorder="1"/>
    <xf numFmtId="166" fontId="20" fillId="0" borderId="13" xfId="1" applyNumberFormat="1" applyBorder="1"/>
    <xf numFmtId="0" fontId="0" fillId="0" borderId="14" xfId="0" applyBorder="1"/>
    <xf numFmtId="166" fontId="20" fillId="2" borderId="15" xfId="1" applyNumberFormat="1" applyFill="1" applyBorder="1"/>
    <xf numFmtId="166" fontId="20" fillId="2" borderId="16" xfId="1" applyNumberFormat="1" applyFill="1" applyBorder="1"/>
    <xf numFmtId="166" fontId="20" fillId="0" borderId="17" xfId="1" applyNumberFormat="1" applyBorder="1"/>
    <xf numFmtId="0" fontId="0" fillId="2" borderId="0" xfId="0" applyFill="1"/>
    <xf numFmtId="0" fontId="0" fillId="0" borderId="18" xfId="0" applyBorder="1"/>
    <xf numFmtId="167" fontId="0" fillId="2" borderId="19" xfId="0" applyNumberFormat="1" applyFill="1" applyBorder="1"/>
    <xf numFmtId="167" fontId="0" fillId="0" borderId="0" xfId="0" applyNumberFormat="1"/>
    <xf numFmtId="0" fontId="0" fillId="2" borderId="8" xfId="0" applyFill="1" applyBorder="1"/>
    <xf numFmtId="167" fontId="0" fillId="2" borderId="8" xfId="0" applyNumberFormat="1" applyFill="1" applyBorder="1"/>
    <xf numFmtId="168" fontId="0" fillId="2" borderId="8" xfId="0" applyNumberFormat="1" applyFill="1" applyBorder="1"/>
    <xf numFmtId="0" fontId="0" fillId="2" borderId="20" xfId="0" applyFill="1" applyBorder="1"/>
    <xf numFmtId="0" fontId="0" fillId="0" borderId="21" xfId="0" applyBorder="1"/>
    <xf numFmtId="0" fontId="0" fillId="0" borderId="23" xfId="0" applyBorder="1"/>
    <xf numFmtId="169" fontId="0" fillId="2" borderId="24" xfId="0" applyNumberFormat="1" applyFill="1" applyBorder="1"/>
    <xf numFmtId="167" fontId="0" fillId="2" borderId="25" xfId="0" applyNumberFormat="1" applyFill="1" applyBorder="1"/>
    <xf numFmtId="167" fontId="0" fillId="0" borderId="8" xfId="0" applyNumberFormat="1" applyBorder="1"/>
    <xf numFmtId="169" fontId="0" fillId="2" borderId="26" xfId="0" applyNumberFormat="1" applyFill="1" applyBorder="1"/>
    <xf numFmtId="167" fontId="0" fillId="2" borderId="27" xfId="0" applyNumberFormat="1" applyFill="1" applyBorder="1"/>
    <xf numFmtId="169" fontId="0" fillId="2" borderId="28" xfId="0" applyNumberFormat="1" applyFill="1" applyBorder="1"/>
    <xf numFmtId="0" fontId="0" fillId="2" borderId="29" xfId="0" applyFill="1" applyBorder="1"/>
    <xf numFmtId="167" fontId="0" fillId="0" borderId="17" xfId="0" applyNumberFormat="1" applyBorder="1"/>
    <xf numFmtId="167" fontId="0" fillId="2" borderId="30" xfId="0" applyNumberFormat="1" applyFill="1" applyBorder="1"/>
    <xf numFmtId="0" fontId="0" fillId="2" borderId="31" xfId="0" applyFill="1" applyBorder="1"/>
    <xf numFmtId="0" fontId="0" fillId="0" borderId="32" xfId="0" applyBorder="1"/>
    <xf numFmtId="167" fontId="0" fillId="2" borderId="33" xfId="0" applyNumberFormat="1" applyFill="1" applyBorder="1"/>
    <xf numFmtId="0" fontId="0" fillId="0" borderId="8" xfId="0" applyBorder="1"/>
    <xf numFmtId="168" fontId="0" fillId="2" borderId="33" xfId="0" applyNumberFormat="1" applyFill="1" applyBorder="1"/>
    <xf numFmtId="167" fontId="0" fillId="2" borderId="34" xfId="0" applyNumberFormat="1" applyFill="1" applyBorder="1"/>
    <xf numFmtId="0" fontId="0" fillId="2" borderId="35" xfId="0" applyFill="1" applyBorder="1"/>
    <xf numFmtId="0" fontId="0" fillId="0" borderId="17" xfId="0" applyBorder="1"/>
    <xf numFmtId="168" fontId="0" fillId="2" borderId="30" xfId="0" applyNumberFormat="1" applyFill="1" applyBorder="1"/>
    <xf numFmtId="167" fontId="0" fillId="2" borderId="32" xfId="0" applyNumberFormat="1" applyFill="1" applyBorder="1"/>
    <xf numFmtId="168" fontId="0" fillId="0" borderId="34" xfId="0" applyNumberFormat="1" applyBorder="1"/>
    <xf numFmtId="168" fontId="0" fillId="0" borderId="21" xfId="0" applyNumberFormat="1" applyBorder="1"/>
    <xf numFmtId="167" fontId="0" fillId="0" borderId="31" xfId="0" applyNumberFormat="1" applyBorder="1"/>
    <xf numFmtId="167" fontId="0" fillId="0" borderId="5" xfId="0" applyNumberFormat="1" applyBorder="1"/>
    <xf numFmtId="167" fontId="0" fillId="0" borderId="14" xfId="0" applyNumberFormat="1" applyBorder="1"/>
    <xf numFmtId="167" fontId="0" fillId="0" borderId="35" xfId="0" applyNumberFormat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169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67" fontId="0" fillId="0" borderId="3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0" xfId="0" applyBorder="1" applyAlignment="1">
      <alignment horizontal="center"/>
    </xf>
    <xf numFmtId="167" fontId="0" fillId="0" borderId="41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169" fontId="0" fillId="0" borderId="3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169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170" fontId="0" fillId="3" borderId="27" xfId="0" applyNumberFormat="1" applyFill="1" applyBorder="1" applyAlignment="1">
      <alignment horizontal="center" vertical="center" wrapText="1"/>
    </xf>
    <xf numFmtId="171" fontId="0" fillId="3" borderId="27" xfId="0" applyNumberFormat="1" applyFill="1" applyBorder="1" applyAlignment="1">
      <alignment horizontal="center" vertical="center" wrapText="1"/>
    </xf>
    <xf numFmtId="167" fontId="0" fillId="3" borderId="27" xfId="0" applyNumberFormat="1" applyFill="1" applyBorder="1" applyAlignment="1">
      <alignment horizontal="center" vertical="center" wrapText="1"/>
    </xf>
    <xf numFmtId="169" fontId="0" fillId="3" borderId="27" xfId="0" applyNumberFormat="1" applyFill="1" applyBorder="1" applyAlignment="1">
      <alignment horizontal="center" vertical="center" wrapText="1"/>
    </xf>
    <xf numFmtId="167" fontId="0" fillId="3" borderId="8" xfId="0" applyNumberFormat="1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28" xfId="0" applyFill="1" applyBorder="1" applyAlignment="1">
      <alignment vertical="center" wrapText="1"/>
    </xf>
    <xf numFmtId="170" fontId="0" fillId="3" borderId="29" xfId="0" applyNumberFormat="1" applyFill="1" applyBorder="1" applyAlignment="1">
      <alignment horizontal="center" vertical="center" wrapText="1"/>
    </xf>
    <xf numFmtId="171" fontId="0" fillId="3" borderId="29" xfId="0" applyNumberFormat="1" applyFill="1" applyBorder="1" applyAlignment="1">
      <alignment horizontal="center" vertical="center" wrapText="1"/>
    </xf>
    <xf numFmtId="167" fontId="0" fillId="3" borderId="29" xfId="0" applyNumberFormat="1" applyFill="1" applyBorder="1" applyAlignment="1">
      <alignment horizontal="center" vertical="center" wrapText="1"/>
    </xf>
    <xf numFmtId="169" fontId="0" fillId="3" borderId="29" xfId="0" applyNumberFormat="1" applyFill="1" applyBorder="1" applyAlignment="1">
      <alignment horizontal="center" vertical="center" wrapText="1"/>
    </xf>
    <xf numFmtId="167" fontId="0" fillId="3" borderId="17" xfId="0" applyNumberForma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0" fontId="0" fillId="0" borderId="27" xfId="0" applyNumberFormat="1" applyBorder="1" applyAlignment="1">
      <alignment horizontal="center" vertical="center" wrapText="1"/>
    </xf>
    <xf numFmtId="171" fontId="0" fillId="0" borderId="27" xfId="0" applyNumberFormat="1" applyBorder="1" applyAlignment="1">
      <alignment horizontal="center" vertical="center" wrapText="1"/>
    </xf>
    <xf numFmtId="167" fontId="0" fillId="0" borderId="27" xfId="0" applyNumberFormat="1" applyBorder="1" applyAlignment="1">
      <alignment horizontal="center" vertical="center" wrapText="1"/>
    </xf>
    <xf numFmtId="169" fontId="0" fillId="0" borderId="27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70" fontId="0" fillId="0" borderId="29" xfId="0" applyNumberFormat="1" applyBorder="1" applyAlignment="1">
      <alignment horizontal="center" vertical="center" wrapText="1"/>
    </xf>
    <xf numFmtId="171" fontId="0" fillId="0" borderId="29" xfId="0" applyNumberFormat="1" applyBorder="1" applyAlignment="1">
      <alignment horizontal="center" vertical="center" wrapText="1"/>
    </xf>
    <xf numFmtId="167" fontId="0" fillId="0" borderId="29" xfId="0" applyNumberFormat="1" applyBorder="1" applyAlignment="1">
      <alignment horizontal="center" vertical="center" wrapText="1"/>
    </xf>
    <xf numFmtId="169" fontId="0" fillId="0" borderId="29" xfId="0" applyNumberFormat="1" applyBorder="1" applyAlignment="1">
      <alignment horizontal="center" vertical="center" wrapText="1"/>
    </xf>
    <xf numFmtId="167" fontId="0" fillId="0" borderId="17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14" fontId="3" fillId="0" borderId="4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/>
    </xf>
    <xf numFmtId="14" fontId="0" fillId="0" borderId="50" xfId="0" applyNumberFormat="1" applyBorder="1" applyAlignment="1">
      <alignment vertical="center"/>
    </xf>
    <xf numFmtId="167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4" fontId="0" fillId="0" borderId="54" xfId="0" applyNumberFormat="1" applyBorder="1" applyAlignment="1">
      <alignment vertical="center"/>
    </xf>
    <xf numFmtId="167" fontId="0" fillId="0" borderId="54" xfId="0" applyNumberFormat="1" applyBorder="1" applyAlignment="1">
      <alignment horizontal="center" vertical="center"/>
    </xf>
    <xf numFmtId="167" fontId="0" fillId="0" borderId="55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2" fontId="0" fillId="0" borderId="55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2" fontId="0" fillId="0" borderId="60" xfId="0" applyNumberFormat="1" applyBorder="1" applyAlignment="1">
      <alignment horizontal="center" vertical="center"/>
    </xf>
    <xf numFmtId="14" fontId="0" fillId="0" borderId="60" xfId="0" applyNumberFormat="1" applyBorder="1" applyAlignment="1">
      <alignment vertical="center"/>
    </xf>
    <xf numFmtId="167" fontId="0" fillId="0" borderId="60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4" borderId="62" xfId="0" applyFont="1" applyFill="1" applyBorder="1" applyAlignment="1">
      <alignment horizontal="right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172" fontId="0" fillId="3" borderId="64" xfId="0" applyNumberFormat="1" applyFill="1" applyBorder="1" applyAlignment="1">
      <alignment horizontal="center" vertical="center"/>
    </xf>
    <xf numFmtId="3" fontId="0" fillId="4" borderId="50" xfId="0" applyNumberFormat="1" applyFill="1" applyBorder="1" applyAlignment="1">
      <alignment horizontal="center" vertical="center"/>
    </xf>
    <xf numFmtId="14" fontId="3" fillId="4" borderId="64" xfId="0" applyNumberFormat="1" applyFont="1" applyFill="1" applyBorder="1" applyAlignment="1">
      <alignment vertical="center"/>
    </xf>
    <xf numFmtId="167" fontId="3" fillId="4" borderId="64" xfId="0" applyNumberFormat="1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2" fontId="0" fillId="0" borderId="67" xfId="0" applyNumberFormat="1" applyBorder="1" applyAlignment="1">
      <alignment horizontal="center" vertical="center"/>
    </xf>
    <xf numFmtId="0" fontId="0" fillId="0" borderId="67" xfId="0" applyBorder="1" applyAlignment="1">
      <alignment vertical="center"/>
    </xf>
    <xf numFmtId="167" fontId="0" fillId="0" borderId="6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14" fontId="0" fillId="0" borderId="55" xfId="0" applyNumberFormat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72" fontId="0" fillId="0" borderId="70" xfId="0" applyNumberFormat="1" applyBorder="1" applyAlignment="1">
      <alignment horizontal="center" vertical="center"/>
    </xf>
    <xf numFmtId="14" fontId="0" fillId="0" borderId="70" xfId="0" applyNumberFormat="1" applyBorder="1" applyAlignment="1">
      <alignment vertical="center"/>
    </xf>
    <xf numFmtId="0" fontId="0" fillId="0" borderId="70" xfId="0" applyBorder="1" applyAlignment="1">
      <alignment vertical="center"/>
    </xf>
    <xf numFmtId="167" fontId="0" fillId="0" borderId="70" xfId="0" applyNumberForma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72" fontId="0" fillId="3" borderId="0" xfId="0" applyNumberFormat="1" applyFill="1" applyAlignment="1">
      <alignment horizontal="center" vertical="center"/>
    </xf>
    <xf numFmtId="172" fontId="3" fillId="4" borderId="64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72" fontId="0" fillId="0" borderId="73" xfId="0" applyNumberFormat="1" applyBorder="1" applyAlignment="1">
      <alignment horizontal="center" vertical="center"/>
    </xf>
    <xf numFmtId="14" fontId="0" fillId="0" borderId="73" xfId="0" applyNumberFormat="1" applyBorder="1" applyAlignment="1">
      <alignment vertical="center"/>
    </xf>
    <xf numFmtId="167" fontId="0" fillId="0" borderId="73" xfId="0" applyNumberForma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2" fontId="0" fillId="3" borderId="75" xfId="0" applyNumberForma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right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6" borderId="64" xfId="0" applyFont="1" applyFill="1" applyBorder="1" applyAlignment="1">
      <alignment horizontal="center" vertical="center"/>
    </xf>
    <xf numFmtId="172" fontId="0" fillId="6" borderId="75" xfId="0" applyNumberFormat="1" applyFill="1" applyBorder="1" applyAlignment="1">
      <alignment horizontal="center" vertical="center"/>
    </xf>
    <xf numFmtId="172" fontId="3" fillId="5" borderId="64" xfId="0" applyNumberFormat="1" applyFont="1" applyFill="1" applyBorder="1" applyAlignment="1">
      <alignment horizontal="center" vertical="center"/>
    </xf>
    <xf numFmtId="14" fontId="3" fillId="5" borderId="64" xfId="0" applyNumberFormat="1" applyFont="1" applyFill="1" applyBorder="1" applyAlignment="1">
      <alignment vertical="center"/>
    </xf>
    <xf numFmtId="167" fontId="3" fillId="5" borderId="64" xfId="0" applyNumberFormat="1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3" fontId="20" fillId="0" borderId="0" xfId="2"/>
    <xf numFmtId="173" fontId="20" fillId="0" borderId="0" xfId="2" applyAlignment="1">
      <alignment horizontal="center"/>
    </xf>
    <xf numFmtId="0" fontId="5" fillId="2" borderId="0" xfId="4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46" xfId="0" applyBorder="1"/>
    <xf numFmtId="0" fontId="0" fillId="0" borderId="76" xfId="0" applyBorder="1" applyAlignment="1">
      <alignment horizontal="left" indent="3"/>
    </xf>
    <xf numFmtId="17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5" fontId="0" fillId="2" borderId="0" xfId="0" applyNumberFormat="1" applyFill="1" applyAlignment="1">
      <alignment vertical="center" wrapText="1"/>
    </xf>
    <xf numFmtId="175" fontId="0" fillId="2" borderId="0" xfId="0" applyNumberFormat="1" applyFill="1" applyAlignment="1">
      <alignment horizontal="center" vertical="center" wrapText="1"/>
    </xf>
    <xf numFmtId="176" fontId="20" fillId="2" borderId="0" xfId="2" applyNumberForma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76" xfId="0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74" fontId="6" fillId="7" borderId="0" xfId="0" applyNumberFormat="1" applyFont="1" applyFill="1" applyAlignment="1">
      <alignment horizontal="center" vertical="center"/>
    </xf>
    <xf numFmtId="176" fontId="6" fillId="7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0" borderId="0" xfId="0" applyNumberFormat="1"/>
    <xf numFmtId="173" fontId="20" fillId="0" borderId="54" xfId="2" applyBorder="1"/>
    <xf numFmtId="173" fontId="20" fillId="0" borderId="54" xfId="2" applyBorder="1" applyAlignment="1">
      <alignment horizontal="center"/>
    </xf>
    <xf numFmtId="0" fontId="0" fillId="0" borderId="54" xfId="0" applyBorder="1"/>
    <xf numFmtId="0" fontId="3" fillId="0" borderId="77" xfId="0" applyFont="1" applyBorder="1"/>
    <xf numFmtId="173" fontId="3" fillId="0" borderId="0" xfId="2" applyFont="1"/>
    <xf numFmtId="173" fontId="3" fillId="0" borderId="60" xfId="2" applyFont="1" applyBorder="1" applyAlignment="1">
      <alignment horizontal="center"/>
    </xf>
    <xf numFmtId="0" fontId="3" fillId="0" borderId="0" xfId="0" applyFont="1" applyAlignment="1">
      <alignment horizontal="center"/>
    </xf>
    <xf numFmtId="169" fontId="3" fillId="0" borderId="47" xfId="3" applyNumberFormat="1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168" fontId="3" fillId="0" borderId="81" xfId="2" applyNumberFormat="1" applyFont="1" applyBorder="1" applyAlignment="1">
      <alignment horizontal="center"/>
    </xf>
    <xf numFmtId="173" fontId="3" fillId="0" borderId="82" xfId="2" applyFont="1" applyBorder="1" applyAlignment="1">
      <alignment horizontal="center"/>
    </xf>
    <xf numFmtId="173" fontId="3" fillId="0" borderId="83" xfId="2" applyFont="1" applyBorder="1" applyAlignment="1">
      <alignment horizontal="center"/>
    </xf>
    <xf numFmtId="173" fontId="3" fillId="0" borderId="81" xfId="2" applyFont="1" applyBorder="1" applyAlignment="1">
      <alignment horizontal="center"/>
    </xf>
    <xf numFmtId="173" fontId="3" fillId="0" borderId="84" xfId="2" applyFont="1" applyBorder="1" applyAlignment="1">
      <alignment horizontal="center"/>
    </xf>
    <xf numFmtId="178" fontId="3" fillId="10" borderId="85" xfId="2" applyNumberFormat="1" applyFont="1" applyFill="1" applyBorder="1" applyAlignment="1">
      <alignment vertical="center"/>
    </xf>
    <xf numFmtId="178" fontId="3" fillId="10" borderId="86" xfId="2" applyNumberFormat="1" applyFont="1" applyFill="1" applyBorder="1" applyAlignment="1">
      <alignment vertical="center" wrapText="1"/>
    </xf>
    <xf numFmtId="178" fontId="3" fillId="10" borderId="87" xfId="2" applyNumberFormat="1" applyFont="1" applyFill="1" applyBorder="1" applyAlignment="1">
      <alignment horizontal="center" vertical="center"/>
    </xf>
    <xf numFmtId="178" fontId="3" fillId="10" borderId="88" xfId="2" applyNumberFormat="1" applyFont="1" applyFill="1" applyBorder="1" applyAlignment="1">
      <alignment horizontal="center" vertical="center"/>
    </xf>
    <xf numFmtId="178" fontId="3" fillId="10" borderId="47" xfId="2" applyNumberFormat="1" applyFont="1" applyFill="1" applyBorder="1" applyAlignment="1">
      <alignment horizontal="center" vertical="center"/>
    </xf>
    <xf numFmtId="178" fontId="3" fillId="10" borderId="89" xfId="2" applyNumberFormat="1" applyFont="1" applyFill="1" applyBorder="1" applyAlignment="1">
      <alignment horizontal="center" vertical="center"/>
    </xf>
    <xf numFmtId="178" fontId="3" fillId="10" borderId="90" xfId="2" applyNumberFormat="1" applyFont="1" applyFill="1" applyBorder="1" applyAlignment="1">
      <alignment horizontal="center" vertical="center"/>
    </xf>
    <xf numFmtId="178" fontId="3" fillId="10" borderId="86" xfId="2" applyNumberFormat="1" applyFont="1" applyFill="1" applyBorder="1" applyAlignment="1">
      <alignment horizontal="center" vertical="center"/>
    </xf>
    <xf numFmtId="178" fontId="0" fillId="10" borderId="0" xfId="0" applyNumberFormat="1" applyFill="1" applyAlignment="1">
      <alignment horizontal="center" vertical="center"/>
    </xf>
    <xf numFmtId="0" fontId="3" fillId="0" borderId="82" xfId="0" applyFont="1" applyBorder="1"/>
    <xf numFmtId="178" fontId="3" fillId="10" borderId="80" xfId="2" applyNumberFormat="1" applyFont="1" applyFill="1" applyBorder="1" applyAlignment="1">
      <alignment vertical="center"/>
    </xf>
    <xf numFmtId="178" fontId="3" fillId="10" borderId="81" xfId="2" applyNumberFormat="1" applyFont="1" applyFill="1" applyBorder="1" applyAlignment="1">
      <alignment vertical="center" wrapText="1"/>
    </xf>
    <xf numFmtId="178" fontId="3" fillId="10" borderId="82" xfId="2" applyNumberFormat="1" applyFont="1" applyFill="1" applyBorder="1" applyAlignment="1">
      <alignment horizontal="center" vertical="center"/>
    </xf>
    <xf numFmtId="178" fontId="3" fillId="10" borderId="83" xfId="2" applyNumberFormat="1" applyFont="1" applyFill="1" applyBorder="1" applyAlignment="1">
      <alignment horizontal="center" vertical="center"/>
    </xf>
    <xf numFmtId="178" fontId="3" fillId="10" borderId="81" xfId="2" applyNumberFormat="1" applyFont="1" applyFill="1" applyBorder="1" applyAlignment="1">
      <alignment horizontal="center" vertical="center"/>
    </xf>
    <xf numFmtId="178" fontId="3" fillId="10" borderId="84" xfId="2" applyNumberFormat="1" applyFont="1" applyFill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73" fontId="3" fillId="3" borderId="91" xfId="2" applyFont="1" applyFill="1" applyBorder="1" applyAlignment="1">
      <alignment horizontal="center" vertical="center"/>
    </xf>
    <xf numFmtId="170" fontId="3" fillId="3" borderId="92" xfId="2" applyNumberFormat="1" applyFont="1" applyFill="1" applyBorder="1" applyAlignment="1">
      <alignment vertical="center"/>
    </xf>
    <xf numFmtId="179" fontId="7" fillId="3" borderId="92" xfId="2" applyNumberFormat="1" applyFont="1" applyFill="1" applyBorder="1" applyAlignment="1">
      <alignment horizontal="center" vertical="center"/>
    </xf>
    <xf numFmtId="177" fontId="3" fillId="3" borderId="93" xfId="0" applyNumberFormat="1" applyFont="1" applyFill="1" applyBorder="1" applyAlignment="1">
      <alignment vertical="center"/>
    </xf>
    <xf numFmtId="177" fontId="3" fillId="3" borderId="88" xfId="0" applyNumberFormat="1" applyFont="1" applyFill="1" applyBorder="1" applyAlignment="1">
      <alignment vertical="center"/>
    </xf>
    <xf numFmtId="177" fontId="3" fillId="3" borderId="47" xfId="0" applyNumberFormat="1" applyFont="1" applyFill="1" applyBorder="1" applyAlignment="1">
      <alignment vertical="center"/>
    </xf>
    <xf numFmtId="177" fontId="3" fillId="3" borderId="94" xfId="0" applyNumberFormat="1" applyFont="1" applyFill="1" applyBorder="1" applyAlignment="1">
      <alignment vertical="center"/>
    </xf>
    <xf numFmtId="173" fontId="3" fillId="11" borderId="96" xfId="2" applyFont="1" applyFill="1" applyBorder="1" applyAlignment="1">
      <alignment horizontal="center" vertical="center"/>
    </xf>
    <xf numFmtId="170" fontId="20" fillId="11" borderId="75" xfId="2" applyNumberFormat="1" applyFill="1" applyBorder="1" applyAlignment="1">
      <alignment vertical="center"/>
    </xf>
    <xf numFmtId="179" fontId="8" fillId="11" borderId="75" xfId="2" applyNumberFormat="1" applyFont="1" applyFill="1" applyBorder="1" applyAlignment="1">
      <alignment horizontal="center" vertical="center"/>
    </xf>
    <xf numFmtId="177" fontId="0" fillId="11" borderId="97" xfId="0" applyNumberFormat="1" applyFill="1" applyBorder="1" applyAlignment="1">
      <alignment vertical="center"/>
    </xf>
    <xf numFmtId="177" fontId="0" fillId="11" borderId="98" xfId="0" applyNumberFormat="1" applyFill="1" applyBorder="1" applyAlignment="1">
      <alignment vertical="center"/>
    </xf>
    <xf numFmtId="177" fontId="0" fillId="11" borderId="99" xfId="0" applyNumberFormat="1" applyFill="1" applyBorder="1" applyAlignment="1">
      <alignment vertical="center"/>
    </xf>
    <xf numFmtId="173" fontId="20" fillId="11" borderId="76" xfId="2" applyFill="1" applyBorder="1" applyAlignment="1">
      <alignment horizontal="center" vertical="center"/>
    </xf>
    <xf numFmtId="170" fontId="20" fillId="11" borderId="0" xfId="2" applyNumberFormat="1" applyFill="1" applyAlignment="1">
      <alignment vertical="center"/>
    </xf>
    <xf numFmtId="179" fontId="8" fillId="11" borderId="47" xfId="2" applyNumberFormat="1" applyFont="1" applyFill="1" applyBorder="1" applyAlignment="1">
      <alignment horizontal="center" vertical="center"/>
    </xf>
    <xf numFmtId="177" fontId="0" fillId="11" borderId="77" xfId="0" applyNumberFormat="1" applyFill="1" applyBorder="1" applyAlignment="1">
      <alignment vertical="center"/>
    </xf>
    <xf numFmtId="177" fontId="0" fillId="11" borderId="88" xfId="0" applyNumberFormat="1" applyFill="1" applyBorder="1" applyAlignment="1">
      <alignment vertical="center"/>
    </xf>
    <xf numFmtId="0" fontId="0" fillId="11" borderId="88" xfId="0" applyFill="1" applyBorder="1" applyAlignment="1">
      <alignment vertical="center"/>
    </xf>
    <xf numFmtId="177" fontId="0" fillId="11" borderId="94" xfId="0" applyNumberFormat="1" applyFill="1" applyBorder="1" applyAlignment="1">
      <alignment vertical="center"/>
    </xf>
    <xf numFmtId="177" fontId="0" fillId="11" borderId="47" xfId="0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177" fontId="0" fillId="11" borderId="100" xfId="0" applyNumberFormat="1" applyFill="1" applyBorder="1" applyAlignment="1">
      <alignment vertical="center"/>
    </xf>
    <xf numFmtId="173" fontId="3" fillId="11" borderId="76" xfId="2" applyFont="1" applyFill="1" applyBorder="1" applyAlignment="1">
      <alignment horizontal="center" vertical="center"/>
    </xf>
    <xf numFmtId="179" fontId="8" fillId="11" borderId="47" xfId="2" applyNumberFormat="1" applyFont="1" applyFill="1" applyBorder="1" applyAlignment="1">
      <alignment horizontal="right" vertical="center"/>
    </xf>
    <xf numFmtId="173" fontId="20" fillId="11" borderId="101" xfId="2" applyFill="1" applyBorder="1" applyAlignment="1">
      <alignment horizontal="center" vertical="center"/>
    </xf>
    <xf numFmtId="170" fontId="20" fillId="11" borderId="80" xfId="2" applyNumberFormat="1" applyFill="1" applyBorder="1" applyAlignment="1">
      <alignment vertical="center"/>
    </xf>
    <xf numFmtId="179" fontId="8" fillId="11" borderId="81" xfId="2" applyNumberFormat="1" applyFont="1" applyFill="1" applyBorder="1" applyAlignment="1">
      <alignment horizontal="center" vertical="center"/>
    </xf>
    <xf numFmtId="177" fontId="0" fillId="11" borderId="82" xfId="0" applyNumberFormat="1" applyFill="1" applyBorder="1" applyAlignment="1">
      <alignment vertical="center"/>
    </xf>
    <xf numFmtId="177" fontId="0" fillId="11" borderId="83" xfId="0" applyNumberFormat="1" applyFill="1" applyBorder="1" applyAlignment="1">
      <alignment vertical="center"/>
    </xf>
    <xf numFmtId="177" fontId="0" fillId="11" borderId="81" xfId="0" applyNumberFormat="1" applyFill="1" applyBorder="1" applyAlignment="1">
      <alignment vertical="center"/>
    </xf>
    <xf numFmtId="177" fontId="0" fillId="11" borderId="84" xfId="0" applyNumberFormat="1" applyFill="1" applyBorder="1" applyAlignment="1">
      <alignment vertical="center"/>
    </xf>
    <xf numFmtId="173" fontId="20" fillId="3" borderId="76" xfId="2" applyFill="1" applyBorder="1" applyAlignment="1">
      <alignment vertical="center"/>
    </xf>
    <xf numFmtId="170" fontId="20" fillId="3" borderId="0" xfId="2" applyNumberFormat="1" applyFill="1" applyAlignment="1">
      <alignment vertical="center"/>
    </xf>
    <xf numFmtId="173" fontId="8" fillId="3" borderId="47" xfId="2" applyFont="1" applyFill="1" applyBorder="1" applyAlignment="1">
      <alignment vertical="center" wrapText="1"/>
    </xf>
    <xf numFmtId="177" fontId="8" fillId="3" borderId="77" xfId="0" applyNumberFormat="1" applyFont="1" applyFill="1" applyBorder="1" applyAlignment="1">
      <alignment vertical="center"/>
    </xf>
    <xf numFmtId="177" fontId="8" fillId="3" borderId="88" xfId="0" applyNumberFormat="1" applyFont="1" applyFill="1" applyBorder="1" applyAlignment="1">
      <alignment vertical="center"/>
    </xf>
    <xf numFmtId="177" fontId="8" fillId="3" borderId="47" xfId="0" applyNumberFormat="1" applyFont="1" applyFill="1" applyBorder="1" applyAlignment="1">
      <alignment vertical="center"/>
    </xf>
    <xf numFmtId="177" fontId="8" fillId="3" borderId="94" xfId="0" applyNumberFormat="1" applyFont="1" applyFill="1" applyBorder="1" applyAlignment="1">
      <alignment vertical="center"/>
    </xf>
    <xf numFmtId="173" fontId="20" fillId="3" borderId="102" xfId="2" applyFill="1" applyBorder="1" applyAlignment="1">
      <alignment vertical="center"/>
    </xf>
    <xf numFmtId="173" fontId="20" fillId="3" borderId="103" xfId="2" applyFill="1" applyBorder="1" applyAlignment="1">
      <alignment horizontal="center" vertical="center"/>
    </xf>
    <xf numFmtId="173" fontId="20" fillId="3" borderId="104" xfId="2" applyFill="1" applyBorder="1" applyAlignment="1">
      <alignment horizontal="center" vertical="center"/>
    </xf>
    <xf numFmtId="177" fontId="8" fillId="3" borderId="105" xfId="0" applyNumberFormat="1" applyFont="1" applyFill="1" applyBorder="1" applyAlignment="1">
      <alignment vertical="center"/>
    </xf>
    <xf numFmtId="177" fontId="8" fillId="3" borderId="106" xfId="0" applyNumberFormat="1" applyFont="1" applyFill="1" applyBorder="1" applyAlignment="1">
      <alignment vertical="center"/>
    </xf>
    <xf numFmtId="177" fontId="8" fillId="3" borderId="104" xfId="0" applyNumberFormat="1" applyFont="1" applyFill="1" applyBorder="1" applyAlignment="1">
      <alignment vertical="center"/>
    </xf>
    <xf numFmtId="177" fontId="8" fillId="3" borderId="107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3" borderId="96" xfId="0" applyFont="1" applyFill="1" applyBorder="1"/>
    <xf numFmtId="173" fontId="9" fillId="3" borderId="75" xfId="2" applyFont="1" applyFill="1" applyBorder="1" applyAlignment="1">
      <alignment horizontal="center" vertical="center" wrapText="1"/>
    </xf>
    <xf numFmtId="0" fontId="9" fillId="3" borderId="99" xfId="0" applyFont="1" applyFill="1" applyBorder="1" applyAlignment="1">
      <alignment vertical="center" wrapText="1"/>
    </xf>
    <xf numFmtId="177" fontId="9" fillId="3" borderId="108" xfId="0" applyNumberFormat="1" applyFont="1" applyFill="1" applyBorder="1" applyAlignment="1">
      <alignment vertical="center" wrapText="1"/>
    </xf>
    <xf numFmtId="177" fontId="9" fillId="3" borderId="98" xfId="0" applyNumberFormat="1" applyFont="1" applyFill="1" applyBorder="1" applyAlignment="1">
      <alignment vertical="center" wrapText="1"/>
    </xf>
    <xf numFmtId="177" fontId="9" fillId="3" borderId="99" xfId="0" applyNumberFormat="1" applyFont="1" applyFill="1" applyBorder="1" applyAlignment="1">
      <alignment vertical="center" wrapText="1"/>
    </xf>
    <xf numFmtId="177" fontId="9" fillId="3" borderId="97" xfId="0" applyNumberFormat="1" applyFont="1" applyFill="1" applyBorder="1" applyAlignment="1">
      <alignment vertical="center" wrapText="1"/>
    </xf>
    <xf numFmtId="0" fontId="9" fillId="3" borderId="102" xfId="0" applyFont="1" applyFill="1" applyBorder="1"/>
    <xf numFmtId="173" fontId="9" fillId="3" borderId="103" xfId="2" applyFont="1" applyFill="1" applyBorder="1" applyAlignment="1">
      <alignment horizontal="center" vertical="center" wrapText="1"/>
    </xf>
    <xf numFmtId="0" fontId="9" fillId="3" borderId="104" xfId="0" applyFont="1" applyFill="1" applyBorder="1" applyAlignment="1">
      <alignment vertical="center" wrapText="1"/>
    </xf>
    <xf numFmtId="177" fontId="9" fillId="3" borderId="105" xfId="0" applyNumberFormat="1" applyFont="1" applyFill="1" applyBorder="1" applyAlignment="1">
      <alignment vertical="center" wrapText="1"/>
    </xf>
    <xf numFmtId="177" fontId="9" fillId="3" borderId="106" xfId="0" applyNumberFormat="1" applyFont="1" applyFill="1" applyBorder="1" applyAlignment="1">
      <alignment vertical="center" wrapText="1"/>
    </xf>
    <xf numFmtId="177" fontId="9" fillId="3" borderId="104" xfId="0" applyNumberFormat="1" applyFont="1" applyFill="1" applyBorder="1" applyAlignment="1">
      <alignment vertical="center" wrapText="1"/>
    </xf>
    <xf numFmtId="177" fontId="9" fillId="3" borderId="107" xfId="0" applyNumberFormat="1" applyFont="1" applyFill="1" applyBorder="1" applyAlignment="1">
      <alignment vertical="center" wrapText="1"/>
    </xf>
    <xf numFmtId="177" fontId="9" fillId="3" borderId="88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73" fontId="9" fillId="0" borderId="0" xfId="2" applyFont="1" applyAlignment="1">
      <alignment vertical="center"/>
    </xf>
    <xf numFmtId="173" fontId="9" fillId="0" borderId="0" xfId="2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7" fontId="10" fillId="0" borderId="75" xfId="0" applyNumberFormat="1" applyFont="1" applyBorder="1" applyAlignment="1">
      <alignment vertical="center"/>
    </xf>
    <xf numFmtId="173" fontId="3" fillId="2" borderId="0" xfId="2" applyFont="1" applyFill="1" applyAlignment="1">
      <alignment horizontal="center" vertical="center"/>
    </xf>
    <xf numFmtId="170" fontId="20" fillId="2" borderId="0" xfId="2" applyNumberFormat="1" applyFill="1" applyAlignment="1">
      <alignment vertical="center"/>
    </xf>
    <xf numFmtId="0" fontId="11" fillId="8" borderId="110" xfId="0" applyFont="1" applyFill="1" applyBorder="1" applyAlignment="1">
      <alignment horizontal="left"/>
    </xf>
    <xf numFmtId="0" fontId="11" fillId="8" borderId="111" xfId="0" applyFont="1" applyFill="1" applyBorder="1" applyAlignment="1">
      <alignment horizontal="left"/>
    </xf>
    <xf numFmtId="0" fontId="3" fillId="8" borderId="112" xfId="0" applyFont="1" applyFill="1" applyBorder="1" applyAlignment="1">
      <alignment horizontal="center"/>
    </xf>
    <xf numFmtId="169" fontId="3" fillId="8" borderId="19" xfId="3" applyNumberFormat="1" applyFont="1" applyFill="1" applyBorder="1" applyAlignment="1">
      <alignment horizontal="center"/>
    </xf>
    <xf numFmtId="0" fontId="0" fillId="0" borderId="102" xfId="0" applyBorder="1"/>
    <xf numFmtId="173" fontId="20" fillId="0" borderId="103" xfId="2" applyBorder="1"/>
    <xf numFmtId="173" fontId="20" fillId="0" borderId="103" xfId="2" applyBorder="1" applyAlignment="1">
      <alignment horizontal="center"/>
    </xf>
    <xf numFmtId="0" fontId="0" fillId="0" borderId="103" xfId="0" applyBorder="1"/>
    <xf numFmtId="0" fontId="12" fillId="0" borderId="0" xfId="0" applyFont="1" applyAlignment="1">
      <alignment vertical="center" wrapText="1"/>
    </xf>
    <xf numFmtId="0" fontId="12" fillId="0" borderId="0" xfId="0" applyFont="1"/>
    <xf numFmtId="173" fontId="12" fillId="2" borderId="0" xfId="2" applyFont="1" applyFill="1" applyAlignment="1">
      <alignment horizontal="center" vertical="center" wrapText="1"/>
    </xf>
    <xf numFmtId="180" fontId="13" fillId="0" borderId="76" xfId="5" applyNumberFormat="1" applyFont="1" applyBorder="1" applyAlignment="1">
      <alignment horizontal="right"/>
    </xf>
    <xf numFmtId="0" fontId="12" fillId="0" borderId="97" xfId="0" applyFont="1" applyBorder="1" applyAlignment="1">
      <alignment vertical="center" wrapText="1"/>
    </xf>
    <xf numFmtId="0" fontId="12" fillId="0" borderId="98" xfId="0" applyFont="1" applyBorder="1" applyAlignment="1">
      <alignment vertical="center" wrapText="1"/>
    </xf>
    <xf numFmtId="173" fontId="12" fillId="0" borderId="113" xfId="2" applyFont="1" applyBorder="1" applyAlignment="1">
      <alignment vertical="center" wrapText="1"/>
    </xf>
    <xf numFmtId="177" fontId="14" fillId="2" borderId="0" xfId="2" applyNumberFormat="1" applyFont="1" applyFill="1" applyAlignment="1">
      <alignment horizontal="center" vertical="center" wrapText="1"/>
    </xf>
    <xf numFmtId="177" fontId="14" fillId="0" borderId="0" xfId="2" applyNumberFormat="1" applyFont="1" applyAlignment="1">
      <alignment horizontal="right" vertical="center"/>
    </xf>
    <xf numFmtId="177" fontId="14" fillId="0" borderId="94" xfId="0" applyNumberFormat="1" applyFont="1" applyBorder="1" applyAlignment="1">
      <alignment vertical="center" wrapText="1"/>
    </xf>
    <xf numFmtId="167" fontId="14" fillId="0" borderId="88" xfId="0" applyNumberFormat="1" applyFont="1" applyBorder="1" applyAlignment="1">
      <alignment vertical="center" wrapText="1"/>
    </xf>
    <xf numFmtId="167" fontId="14" fillId="0" borderId="100" xfId="2" applyNumberFormat="1" applyFont="1" applyBorder="1" applyAlignment="1">
      <alignment vertical="center" wrapText="1"/>
    </xf>
    <xf numFmtId="167" fontId="14" fillId="0" borderId="94" xfId="0" applyNumberFormat="1" applyFont="1" applyBorder="1" applyAlignment="1">
      <alignment vertical="center" wrapText="1"/>
    </xf>
    <xf numFmtId="177" fontId="14" fillId="0" borderId="0" xfId="2" applyNumberFormat="1" applyFont="1" applyAlignment="1">
      <alignment vertical="center" wrapText="1"/>
    </xf>
    <xf numFmtId="177" fontId="12" fillId="0" borderId="0" xfId="2" applyNumberFormat="1" applyFont="1"/>
    <xf numFmtId="177" fontId="12" fillId="2" borderId="0" xfId="2" applyNumberFormat="1" applyFont="1" applyFill="1" applyAlignment="1">
      <alignment horizontal="center" vertical="center" wrapText="1"/>
    </xf>
    <xf numFmtId="177" fontId="14" fillId="0" borderId="94" xfId="2" applyNumberFormat="1" applyFont="1" applyBorder="1" applyAlignment="1">
      <alignment vertical="center" wrapText="1"/>
    </xf>
    <xf numFmtId="177" fontId="14" fillId="0" borderId="88" xfId="2" applyNumberFormat="1" applyFont="1" applyBorder="1" applyAlignment="1">
      <alignment vertical="center" wrapText="1"/>
    </xf>
    <xf numFmtId="177" fontId="14" fillId="0" borderId="100" xfId="2" applyNumberFormat="1" applyFont="1" applyBorder="1" applyAlignment="1">
      <alignment vertical="center" wrapText="1"/>
    </xf>
    <xf numFmtId="177" fontId="14" fillId="0" borderId="0" xfId="2" applyNumberFormat="1" applyFont="1"/>
    <xf numFmtId="177" fontId="14" fillId="0" borderId="115" xfId="2" applyNumberFormat="1" applyFont="1" applyBorder="1" applyAlignment="1">
      <alignment vertical="center" wrapText="1"/>
    </xf>
    <xf numFmtId="177" fontId="14" fillId="0" borderId="116" xfId="2" applyNumberFormat="1" applyFont="1" applyBorder="1" applyAlignment="1">
      <alignment vertical="center" wrapText="1"/>
    </xf>
    <xf numFmtId="177" fontId="14" fillId="0" borderId="117" xfId="2" applyNumberFormat="1" applyFont="1" applyBorder="1" applyAlignment="1">
      <alignment vertical="center" wrapText="1"/>
    </xf>
    <xf numFmtId="179" fontId="14" fillId="0" borderId="115" xfId="2" applyNumberFormat="1" applyFont="1" applyBorder="1" applyAlignment="1">
      <alignment vertical="center" wrapText="1"/>
    </xf>
    <xf numFmtId="177" fontId="13" fillId="0" borderId="0" xfId="2" applyNumberFormat="1" applyFont="1" applyAlignment="1">
      <alignment horizontal="center"/>
    </xf>
    <xf numFmtId="177" fontId="13" fillId="0" borderId="0" xfId="2" applyNumberFormat="1" applyFont="1" applyAlignment="1">
      <alignment horizontal="right" indent="3"/>
    </xf>
    <xf numFmtId="177" fontId="15" fillId="0" borderId="0" xfId="2" applyNumberFormat="1" applyFont="1" applyAlignment="1">
      <alignment horizontal="center"/>
    </xf>
    <xf numFmtId="177" fontId="14" fillId="0" borderId="118" xfId="2" applyNumberFormat="1" applyFont="1" applyBorder="1" applyAlignment="1">
      <alignment vertical="center" wrapText="1"/>
    </xf>
    <xf numFmtId="177" fontId="14" fillId="0" borderId="65" xfId="2" applyNumberFormat="1" applyFont="1" applyBorder="1" applyAlignment="1">
      <alignment vertical="center" wrapText="1"/>
    </xf>
    <xf numFmtId="177" fontId="14" fillId="0" borderId="47" xfId="2" applyNumberFormat="1" applyFont="1" applyBorder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173" fontId="12" fillId="0" borderId="119" xfId="2" applyFont="1" applyBorder="1" applyAlignment="1">
      <alignment vertical="center" wrapText="1"/>
    </xf>
    <xf numFmtId="177" fontId="14" fillId="0" borderId="76" xfId="2" applyNumberFormat="1" applyFont="1" applyBorder="1" applyAlignment="1">
      <alignment vertical="center" wrapText="1"/>
    </xf>
    <xf numFmtId="177" fontId="14" fillId="0" borderId="120" xfId="2" applyNumberFormat="1" applyFont="1" applyBorder="1" applyAlignment="1">
      <alignment vertical="center" wrapText="1"/>
    </xf>
    <xf numFmtId="177" fontId="14" fillId="0" borderId="77" xfId="2" applyNumberFormat="1" applyFont="1" applyBorder="1" applyAlignment="1">
      <alignment vertical="center" wrapText="1"/>
    </xf>
    <xf numFmtId="177" fontId="14" fillId="0" borderId="107" xfId="2" applyNumberFormat="1" applyFont="1" applyBorder="1" applyAlignment="1">
      <alignment vertical="center" wrapText="1"/>
    </xf>
    <xf numFmtId="177" fontId="14" fillId="0" borderId="106" xfId="2" applyNumberFormat="1" applyFont="1" applyBorder="1" applyAlignment="1">
      <alignment vertical="center" wrapText="1"/>
    </xf>
    <xf numFmtId="177" fontId="14" fillId="0" borderId="114" xfId="2" applyNumberFormat="1" applyFont="1" applyBorder="1" applyAlignment="1">
      <alignment vertical="center" wrapText="1"/>
    </xf>
    <xf numFmtId="0" fontId="16" fillId="2" borderId="0" xfId="0" applyFont="1" applyFill="1" applyAlignment="1">
      <alignment horizontal="center"/>
    </xf>
    <xf numFmtId="177" fontId="16" fillId="0" borderId="0" xfId="0" applyNumberFormat="1" applyFont="1" applyAlignment="1">
      <alignment horizontal="center"/>
    </xf>
    <xf numFmtId="180" fontId="13" fillId="2" borderId="0" xfId="5" applyNumberFormat="1" applyFont="1" applyFill="1" applyAlignment="1">
      <alignment horizontal="right" indent="3"/>
    </xf>
    <xf numFmtId="181" fontId="16" fillId="2" borderId="0" xfId="0" applyNumberFormat="1" applyFont="1" applyFill="1" applyAlignment="1">
      <alignment horizontal="center"/>
    </xf>
    <xf numFmtId="177" fontId="14" fillId="0" borderId="64" xfId="2" applyNumberFormat="1" applyFont="1" applyBorder="1" applyAlignment="1">
      <alignment vertical="center" wrapText="1"/>
    </xf>
    <xf numFmtId="177" fontId="14" fillId="0" borderId="0" xfId="2" applyNumberFormat="1" applyFont="1" applyAlignment="1">
      <alignment horizontal="left" vertical="center"/>
    </xf>
    <xf numFmtId="177" fontId="14" fillId="0" borderId="97" xfId="2" applyNumberFormat="1" applyFont="1" applyBorder="1" applyAlignment="1">
      <alignment vertical="center" wrapText="1"/>
    </xf>
    <xf numFmtId="177" fontId="14" fillId="0" borderId="98" xfId="2" applyNumberFormat="1" applyFont="1" applyBorder="1" applyAlignment="1">
      <alignment vertical="center" wrapText="1"/>
    </xf>
    <xf numFmtId="177" fontId="14" fillId="0" borderId="113" xfId="2" applyNumberFormat="1" applyFont="1" applyBorder="1" applyAlignment="1">
      <alignment vertical="center" wrapText="1"/>
    </xf>
    <xf numFmtId="182" fontId="14" fillId="0" borderId="0" xfId="2" applyNumberFormat="1" applyFont="1"/>
    <xf numFmtId="182" fontId="14" fillId="0" borderId="118" xfId="2" applyNumberFormat="1" applyFont="1" applyBorder="1" applyAlignment="1">
      <alignment vertical="center" wrapText="1"/>
    </xf>
    <xf numFmtId="182" fontId="14" fillId="0" borderId="65" xfId="2" applyNumberFormat="1" applyFont="1" applyBorder="1" applyAlignment="1">
      <alignment vertical="center" wrapText="1"/>
    </xf>
    <xf numFmtId="182" fontId="14" fillId="0" borderId="115" xfId="2" applyNumberFormat="1" applyFont="1" applyBorder="1" applyAlignment="1">
      <alignment vertical="center" wrapText="1"/>
    </xf>
    <xf numFmtId="182" fontId="14" fillId="0" borderId="0" xfId="2" applyNumberFormat="1" applyFont="1" applyAlignment="1">
      <alignment vertical="center" wrapText="1"/>
    </xf>
    <xf numFmtId="183" fontId="16" fillId="2" borderId="0" xfId="0" applyNumberFormat="1" applyFont="1" applyFill="1" applyAlignment="1">
      <alignment horizontal="center"/>
    </xf>
    <xf numFmtId="183" fontId="14" fillId="0" borderId="0" xfId="0" applyNumberFormat="1" applyFont="1"/>
    <xf numFmtId="182" fontId="13" fillId="0" borderId="0" xfId="2" applyNumberFormat="1" applyFont="1" applyAlignment="1">
      <alignment horizontal="center"/>
    </xf>
    <xf numFmtId="183" fontId="19" fillId="0" borderId="0" xfId="0" applyNumberFormat="1" applyFont="1" applyAlignment="1">
      <alignment horizontal="center"/>
    </xf>
    <xf numFmtId="0" fontId="0" fillId="0" borderId="22" xfId="0" applyBorder="1"/>
    <xf numFmtId="0" fontId="0" fillId="0" borderId="26" xfId="0" applyBorder="1"/>
    <xf numFmtId="169" fontId="0" fillId="0" borderId="8" xfId="0" applyNumberFormat="1" applyBorder="1"/>
    <xf numFmtId="176" fontId="0" fillId="0" borderId="8" xfId="0" applyNumberFormat="1" applyBorder="1"/>
    <xf numFmtId="168" fontId="0" fillId="0" borderId="8" xfId="0" applyNumberFormat="1" applyBorder="1"/>
    <xf numFmtId="0" fontId="0" fillId="0" borderId="28" xfId="0" applyBorder="1"/>
    <xf numFmtId="176" fontId="0" fillId="0" borderId="17" xfId="0" applyNumberFormat="1" applyBorder="1"/>
    <xf numFmtId="2" fontId="0" fillId="0" borderId="8" xfId="0" applyNumberFormat="1" applyBorder="1"/>
    <xf numFmtId="0" fontId="0" fillId="12" borderId="110" xfId="0" applyFill="1" applyBorder="1" applyAlignment="1">
      <alignment horizontal="center"/>
    </xf>
    <xf numFmtId="0" fontId="0" fillId="13" borderId="122" xfId="0" applyFill="1" applyBorder="1" applyAlignment="1">
      <alignment horizontal="center"/>
    </xf>
    <xf numFmtId="0" fontId="0" fillId="14" borderId="122" xfId="0" applyFill="1" applyBorder="1" applyAlignment="1">
      <alignment horizontal="center"/>
    </xf>
    <xf numFmtId="0" fontId="0" fillId="12" borderId="18" xfId="0" applyFill="1" applyBorder="1"/>
    <xf numFmtId="167" fontId="0" fillId="12" borderId="0" xfId="0" applyNumberFormat="1" applyFill="1"/>
    <xf numFmtId="0" fontId="0" fillId="12" borderId="0" xfId="0" applyFill="1"/>
    <xf numFmtId="167" fontId="0" fillId="12" borderId="8" xfId="0" applyNumberFormat="1" applyFill="1" applyBorder="1"/>
    <xf numFmtId="0" fontId="0" fillId="13" borderId="18" xfId="0" applyFill="1" applyBorder="1"/>
    <xf numFmtId="167" fontId="0" fillId="13" borderId="0" xfId="0" applyNumberFormat="1" applyFill="1"/>
    <xf numFmtId="0" fontId="0" fillId="13" borderId="0" xfId="0" applyFill="1"/>
    <xf numFmtId="167" fontId="0" fillId="13" borderId="8" xfId="0" applyNumberFormat="1" applyFill="1" applyBorder="1"/>
    <xf numFmtId="167" fontId="0" fillId="13" borderId="5" xfId="0" applyNumberFormat="1" applyFill="1" applyBorder="1"/>
    <xf numFmtId="0" fontId="0" fillId="14" borderId="0" xfId="0" applyFill="1"/>
    <xf numFmtId="167" fontId="0" fillId="14" borderId="0" xfId="0" applyNumberFormat="1" applyFill="1"/>
    <xf numFmtId="167" fontId="0" fillId="14" borderId="8" xfId="0" applyNumberFormat="1" applyFill="1" applyBorder="1"/>
    <xf numFmtId="0" fontId="0" fillId="12" borderId="20" xfId="0" applyFill="1" applyBorder="1"/>
    <xf numFmtId="0" fontId="0" fillId="13" borderId="20" xfId="0" applyFill="1" applyBorder="1"/>
    <xf numFmtId="0" fontId="0" fillId="15" borderId="5" xfId="0" applyFill="1" applyBorder="1"/>
    <xf numFmtId="182" fontId="0" fillId="12" borderId="8" xfId="0" applyNumberFormat="1" applyFill="1" applyBorder="1"/>
    <xf numFmtId="182" fontId="0" fillId="13" borderId="8" xfId="0" applyNumberFormat="1" applyFill="1" applyBorder="1"/>
    <xf numFmtId="182" fontId="0" fillId="14" borderId="8" xfId="0" applyNumberFormat="1" applyFill="1" applyBorder="1"/>
    <xf numFmtId="0" fontId="0" fillId="12" borderId="40" xfId="0" applyFill="1" applyBorder="1"/>
    <xf numFmtId="168" fontId="0" fillId="12" borderId="35" xfId="0" applyNumberFormat="1" applyFill="1" applyBorder="1"/>
    <xf numFmtId="0" fontId="0" fillId="12" borderId="35" xfId="0" applyFill="1" applyBorder="1"/>
    <xf numFmtId="168" fontId="0" fillId="12" borderId="17" xfId="0" applyNumberFormat="1" applyFill="1" applyBorder="1"/>
    <xf numFmtId="169" fontId="0" fillId="12" borderId="35" xfId="0" applyNumberFormat="1" applyFill="1" applyBorder="1"/>
    <xf numFmtId="0" fontId="0" fillId="13" borderId="40" xfId="0" applyFill="1" applyBorder="1"/>
    <xf numFmtId="168" fontId="0" fillId="13" borderId="35" xfId="0" applyNumberFormat="1" applyFill="1" applyBorder="1"/>
    <xf numFmtId="0" fontId="0" fillId="13" borderId="35" xfId="0" applyFill="1" applyBorder="1"/>
    <xf numFmtId="168" fontId="0" fillId="13" borderId="17" xfId="0" applyNumberFormat="1" applyFill="1" applyBorder="1"/>
    <xf numFmtId="169" fontId="0" fillId="13" borderId="14" xfId="0" applyNumberFormat="1" applyFill="1" applyBorder="1"/>
    <xf numFmtId="0" fontId="0" fillId="14" borderId="35" xfId="0" applyFill="1" applyBorder="1"/>
    <xf numFmtId="168" fontId="0" fillId="14" borderId="35" xfId="0" applyNumberFormat="1" applyFill="1" applyBorder="1"/>
    <xf numFmtId="168" fontId="0" fillId="14" borderId="17" xfId="0" applyNumberFormat="1" applyFill="1" applyBorder="1"/>
    <xf numFmtId="169" fontId="0" fillId="14" borderId="17" xfId="0" applyNumberFormat="1" applyFill="1" applyBorder="1"/>
    <xf numFmtId="166" fontId="0" fillId="2" borderId="0" xfId="0" applyNumberFormat="1" applyFill="1"/>
    <xf numFmtId="188" fontId="0" fillId="0" borderId="32" xfId="0" applyNumberFormat="1" applyBorder="1" applyAlignment="1">
      <alignment horizontal="center"/>
    </xf>
    <xf numFmtId="188" fontId="0" fillId="0" borderId="8" xfId="0" applyNumberFormat="1" applyBorder="1" applyAlignment="1">
      <alignment horizontal="center"/>
    </xf>
    <xf numFmtId="188" fontId="0" fillId="0" borderId="17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22" fillId="0" borderId="102" xfId="6" applyFont="1" applyBorder="1"/>
    <xf numFmtId="0" fontId="22" fillId="0" borderId="103" xfId="6" applyFont="1" applyBorder="1"/>
    <xf numFmtId="0" fontId="23" fillId="0" borderId="103" xfId="6" applyFont="1" applyBorder="1"/>
    <xf numFmtId="0" fontId="1" fillId="0" borderId="0" xfId="6"/>
    <xf numFmtId="0" fontId="1" fillId="0" borderId="95" xfId="6" applyBorder="1"/>
    <xf numFmtId="0" fontId="1" fillId="0" borderId="95" xfId="6" applyBorder="1" applyAlignment="1">
      <alignment horizontal="center"/>
    </xf>
    <xf numFmtId="0" fontId="1" fillId="0" borderId="78" xfId="6" applyBorder="1"/>
    <xf numFmtId="0" fontId="1" fillId="0" borderId="78" xfId="6" applyBorder="1" applyAlignment="1">
      <alignment horizontal="center"/>
    </xf>
    <xf numFmtId="14" fontId="1" fillId="0" borderId="47" xfId="6" applyNumberFormat="1" applyBorder="1"/>
    <xf numFmtId="14" fontId="1" fillId="0" borderId="78" xfId="6" applyNumberFormat="1" applyBorder="1" applyAlignment="1">
      <alignment horizontal="center"/>
    </xf>
    <xf numFmtId="0" fontId="1" fillId="0" borderId="47" xfId="6" applyBorder="1"/>
    <xf numFmtId="184" fontId="1" fillId="0" borderId="47" xfId="6" applyNumberFormat="1" applyBorder="1"/>
    <xf numFmtId="185" fontId="1" fillId="0" borderId="78" xfId="6" applyNumberFormat="1" applyBorder="1" applyAlignment="1">
      <alignment horizontal="center"/>
    </xf>
    <xf numFmtId="186" fontId="1" fillId="0" borderId="78" xfId="6" applyNumberFormat="1" applyBorder="1" applyAlignment="1">
      <alignment horizontal="center"/>
    </xf>
    <xf numFmtId="3" fontId="1" fillId="0" borderId="78" xfId="6" applyNumberFormat="1" applyBorder="1" applyAlignment="1">
      <alignment horizontal="center"/>
    </xf>
    <xf numFmtId="0" fontId="1" fillId="16" borderId="78" xfId="6" applyFill="1" applyBorder="1"/>
    <xf numFmtId="184" fontId="1" fillId="16" borderId="47" xfId="6" applyNumberFormat="1" applyFill="1" applyBorder="1"/>
    <xf numFmtId="184" fontId="1" fillId="17" borderId="47" xfId="6" applyNumberFormat="1" applyFill="1" applyBorder="1"/>
    <xf numFmtId="3" fontId="21" fillId="0" borderId="0" xfId="6" applyNumberFormat="1" applyFont="1"/>
    <xf numFmtId="3" fontId="21" fillId="0" borderId="76" xfId="6" applyNumberFormat="1" applyFont="1" applyBorder="1"/>
    <xf numFmtId="3" fontId="21" fillId="0" borderId="78" xfId="6" applyNumberFormat="1" applyFont="1" applyBorder="1"/>
    <xf numFmtId="0" fontId="1" fillId="0" borderId="76" xfId="6" applyBorder="1"/>
    <xf numFmtId="184" fontId="1" fillId="18" borderId="102" xfId="6" applyNumberFormat="1" applyFill="1" applyBorder="1"/>
    <xf numFmtId="184" fontId="1" fillId="18" borderId="121" xfId="6" applyNumberFormat="1" applyFill="1" applyBorder="1"/>
    <xf numFmtId="6" fontId="1" fillId="0" borderId="0" xfId="6" applyNumberFormat="1"/>
    <xf numFmtId="0" fontId="1" fillId="16" borderId="0" xfId="6" applyFill="1"/>
    <xf numFmtId="6" fontId="1" fillId="16" borderId="0" xfId="6" applyNumberFormat="1" applyFill="1"/>
    <xf numFmtId="0" fontId="1" fillId="17" borderId="0" xfId="6" applyFill="1"/>
    <xf numFmtId="6" fontId="1" fillId="17" borderId="0" xfId="6" applyNumberFormat="1" applyFill="1"/>
    <xf numFmtId="0" fontId="1" fillId="0" borderId="96" xfId="6" applyBorder="1"/>
    <xf numFmtId="0" fontId="1" fillId="0" borderId="75" xfId="6" applyBorder="1"/>
    <xf numFmtId="187" fontId="1" fillId="0" borderId="99" xfId="6" applyNumberFormat="1" applyBorder="1"/>
    <xf numFmtId="3" fontId="1" fillId="18" borderId="0" xfId="6" applyNumberFormat="1" applyFill="1"/>
    <xf numFmtId="0" fontId="1" fillId="18" borderId="0" xfId="6" applyFill="1"/>
    <xf numFmtId="6" fontId="1" fillId="18" borderId="0" xfId="6" applyNumberFormat="1" applyFill="1"/>
    <xf numFmtId="0" fontId="1" fillId="0" borderId="102" xfId="6" applyBorder="1"/>
    <xf numFmtId="0" fontId="1" fillId="0" borderId="103" xfId="6" applyBorder="1"/>
    <xf numFmtId="187" fontId="1" fillId="0" borderId="104" xfId="6" applyNumberFormat="1" applyBorder="1"/>
    <xf numFmtId="0" fontId="22" fillId="0" borderId="0" xfId="6" applyFont="1"/>
    <xf numFmtId="0" fontId="23" fillId="16" borderId="0" xfId="6" applyFont="1" applyFill="1"/>
    <xf numFmtId="0" fontId="23" fillId="0" borderId="0" xfId="6" applyFont="1"/>
    <xf numFmtId="0" fontId="1" fillId="17" borderId="78" xfId="6" applyFill="1" applyBorder="1"/>
    <xf numFmtId="9" fontId="0" fillId="2" borderId="0" xfId="0" applyNumberFormat="1" applyFill="1"/>
    <xf numFmtId="177" fontId="12" fillId="0" borderId="0" xfId="2" applyNumberFormat="1" applyFont="1" applyAlignment="1">
      <alignment horizontal="center" vertical="center" wrapText="1"/>
    </xf>
    <xf numFmtId="166" fontId="20" fillId="2" borderId="125" xfId="1" applyNumberFormat="1" applyFill="1" applyBorder="1"/>
    <xf numFmtId="0" fontId="0" fillId="12" borderId="122" xfId="0" applyFill="1" applyBorder="1" applyAlignment="1">
      <alignment horizontal="center"/>
    </xf>
    <xf numFmtId="0" fontId="0" fillId="13" borderId="122" xfId="0" applyFill="1" applyBorder="1" applyAlignment="1">
      <alignment horizontal="center"/>
    </xf>
    <xf numFmtId="0" fontId="0" fillId="14" borderId="11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3" fontId="3" fillId="9" borderId="124" xfId="2" applyFont="1" applyFill="1" applyBorder="1" applyAlignment="1">
      <alignment horizontal="center"/>
    </xf>
    <xf numFmtId="173" fontId="3" fillId="9" borderId="55" xfId="2" applyFont="1" applyFill="1" applyBorder="1" applyAlignment="1">
      <alignment horizontal="center"/>
    </xf>
    <xf numFmtId="173" fontId="3" fillId="9" borderId="58" xfId="2" applyFont="1" applyFill="1" applyBorder="1" applyAlignment="1">
      <alignment horizontal="center"/>
    </xf>
    <xf numFmtId="173" fontId="3" fillId="8" borderId="55" xfId="2" applyFont="1" applyFill="1" applyBorder="1" applyAlignment="1">
      <alignment horizontal="center"/>
    </xf>
    <xf numFmtId="173" fontId="3" fillId="8" borderId="58" xfId="2" applyFont="1" applyFill="1" applyBorder="1" applyAlignment="1">
      <alignment horizontal="center"/>
    </xf>
    <xf numFmtId="182" fontId="13" fillId="0" borderId="19" xfId="2" applyNumberFormat="1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173" fontId="3" fillId="8" borderId="124" xfId="2" applyFont="1" applyFill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3" fillId="0" borderId="78" xfId="0" applyFont="1" applyBorder="1" applyAlignment="1">
      <alignment horizontal="center"/>
    </xf>
    <xf numFmtId="0" fontId="3" fillId="0" borderId="95" xfId="0" applyFont="1" applyBorder="1" applyAlignment="1">
      <alignment horizontal="center" vertical="center"/>
    </xf>
    <xf numFmtId="0" fontId="11" fillId="8" borderId="109" xfId="0" applyFont="1" applyFill="1" applyBorder="1" applyAlignment="1">
      <alignment horizontal="left"/>
    </xf>
    <xf numFmtId="177" fontId="13" fillId="0" borderId="19" xfId="2" applyNumberFormat="1" applyFont="1" applyBorder="1" applyAlignment="1">
      <alignment horizontal="center"/>
    </xf>
    <xf numFmtId="177" fontId="14" fillId="0" borderId="75" xfId="2" applyNumberFormat="1" applyFont="1" applyBorder="1" applyAlignment="1">
      <alignment horizontal="center"/>
    </xf>
    <xf numFmtId="177" fontId="13" fillId="0" borderId="112" xfId="2" applyNumberFormat="1" applyFont="1" applyBorder="1" applyAlignment="1">
      <alignment horizontal="center"/>
    </xf>
    <xf numFmtId="177" fontId="15" fillId="0" borderId="75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77" fontId="17" fillId="0" borderId="112" xfId="2" applyNumberFormat="1" applyFont="1" applyBorder="1" applyAlignment="1">
      <alignment horizontal="center"/>
    </xf>
    <xf numFmtId="0" fontId="1" fillId="0" borderId="112" xfId="6" applyBorder="1" applyAlignment="1">
      <alignment horizontal="center"/>
    </xf>
    <xf numFmtId="0" fontId="1" fillId="0" borderId="64" xfId="6" applyBorder="1" applyAlignment="1">
      <alignment horizontal="center"/>
    </xf>
    <xf numFmtId="0" fontId="1" fillId="0" borderId="65" xfId="6" applyBorder="1" applyAlignment="1">
      <alignment horizontal="center"/>
    </xf>
    <xf numFmtId="0" fontId="1" fillId="16" borderId="99" xfId="6" applyFill="1" applyBorder="1" applyAlignment="1">
      <alignment horizontal="center" wrapText="1"/>
    </xf>
    <xf numFmtId="0" fontId="1" fillId="16" borderId="47" xfId="6" applyFill="1" applyBorder="1" applyAlignment="1">
      <alignment horizontal="center" wrapText="1"/>
    </xf>
    <xf numFmtId="177" fontId="0" fillId="11" borderId="0" xfId="0" applyNumberFormat="1" applyFill="1" applyBorder="1" applyAlignment="1">
      <alignment vertical="center"/>
    </xf>
    <xf numFmtId="177" fontId="0" fillId="11" borderId="76" xfId="0" applyNumberFormat="1" applyFill="1" applyBorder="1" applyAlignment="1">
      <alignment vertical="center"/>
    </xf>
    <xf numFmtId="177" fontId="0" fillId="11" borderId="78" xfId="0" applyNumberFormat="1" applyFill="1" applyBorder="1" applyAlignment="1">
      <alignment vertical="center"/>
    </xf>
    <xf numFmtId="0" fontId="0" fillId="0" borderId="76" xfId="0" applyBorder="1" applyAlignment="1">
      <alignment vertical="center"/>
    </xf>
  </cellXfs>
  <cellStyles count="7">
    <cellStyle name="Lien hypertexte" xfId="4" builtinId="8"/>
    <cellStyle name="Milliers" xfId="1" builtinId="3"/>
    <cellStyle name="Milliers 2" xfId="5" xr:uid="{00000000-0005-0000-0000-000006000000}"/>
    <cellStyle name="Monétaire" xfId="2" builtinId="4"/>
    <cellStyle name="Normal" xfId="0" builtinId="0"/>
    <cellStyle name="Normal 2" xfId="6" xr:uid="{5EA52B01-73F2-4C5C-9D5E-8391B5E845BF}"/>
    <cellStyle name="Pourcentage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BC2E6"/>
      <rgbColor rgb="FF993366"/>
      <rgbColor rgb="FFFFF2CC"/>
      <rgbColor rgb="FFDDEBF7"/>
      <rgbColor rgb="FF660066"/>
      <rgbColor rgb="FFFF8080"/>
      <rgbColor rgb="FF0563C1"/>
      <rgbColor rgb="FFBDD7EE"/>
      <rgbColor rgb="FF000080"/>
      <rgbColor rgb="FFFF00FF"/>
      <rgbColor rgb="FFF0F0F0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2F2F2"/>
      <rgbColor rgb="FF9DC3E6"/>
      <rgbColor rgb="FFEDEDED"/>
      <rgbColor rgb="FFD9D9D9"/>
      <rgbColor rgb="FFFBE5D6"/>
      <rgbColor rgb="FF4472C4"/>
      <rgbColor rgb="FF33CCCC"/>
      <rgbColor rgb="FFA9D18E"/>
      <rgbColor rgb="FFFFC0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66"/>
  <sheetViews>
    <sheetView showGridLines="0" tabSelected="1" topLeftCell="A36" zoomScale="190" zoomScaleNormal="190" workbookViewId="0">
      <selection activeCell="F2" sqref="F2"/>
    </sheetView>
  </sheetViews>
  <sheetFormatPr baseColWidth="10" defaultColWidth="10.7109375" defaultRowHeight="15" customHeight="1" x14ac:dyDescent="0.25"/>
  <cols>
    <col min="1" max="1" width="27" customWidth="1"/>
    <col min="2" max="2" width="15.7109375" customWidth="1"/>
    <col min="3" max="3" width="19.7109375" customWidth="1"/>
    <col min="4" max="5" width="15.7109375" customWidth="1"/>
    <col min="6" max="6" width="11.5703125" style="4" customWidth="1"/>
    <col min="7" max="7" width="13.42578125" customWidth="1"/>
  </cols>
  <sheetData>
    <row r="1" spans="1:7" x14ac:dyDescent="0.25">
      <c r="A1" s="5" t="s">
        <v>0</v>
      </c>
      <c r="B1" s="6">
        <v>46058</v>
      </c>
    </row>
    <row r="2" spans="1:7" x14ac:dyDescent="0.25">
      <c r="A2" t="s">
        <v>1</v>
      </c>
    </row>
    <row r="3" spans="1:7" ht="15.75" customHeight="1" x14ac:dyDescent="0.25">
      <c r="A3" s="7" t="s">
        <v>2</v>
      </c>
      <c r="B3" s="8" t="s">
        <v>3</v>
      </c>
      <c r="C3" s="9" t="s">
        <v>4</v>
      </c>
      <c r="D3" s="10" t="s">
        <v>3</v>
      </c>
      <c r="F3" s="4" t="s">
        <v>5</v>
      </c>
      <c r="G3" s="11">
        <f>B4</f>
        <v>530000</v>
      </c>
    </row>
    <row r="4" spans="1:7" ht="15.75" customHeight="1" x14ac:dyDescent="0.25">
      <c r="A4" s="12" t="s">
        <v>6</v>
      </c>
      <c r="B4" s="13">
        <v>530000</v>
      </c>
      <c r="C4" s="14" t="s">
        <v>7</v>
      </c>
      <c r="D4" s="15">
        <f ca="1">B31</f>
        <v>1300000</v>
      </c>
      <c r="F4" s="4" t="s">
        <v>8</v>
      </c>
      <c r="G4" s="11">
        <f>B5</f>
        <v>35032.999999999993</v>
      </c>
    </row>
    <row r="5" spans="1:7" x14ac:dyDescent="0.25">
      <c r="A5" s="12" t="s">
        <v>9</v>
      </c>
      <c r="B5" s="13">
        <f>B4*B20</f>
        <v>35032.999999999993</v>
      </c>
      <c r="C5" s="14" t="s">
        <v>10</v>
      </c>
      <c r="D5" s="16">
        <f ca="1">B15-D4-D10-D6-D11</f>
        <v>3106524.3407707913</v>
      </c>
      <c r="F5" s="4" t="s">
        <v>11</v>
      </c>
      <c r="G5" s="11">
        <f>B11</f>
        <v>3432000</v>
      </c>
    </row>
    <row r="6" spans="1:7" x14ac:dyDescent="0.25">
      <c r="A6" s="12" t="s">
        <v>334</v>
      </c>
      <c r="B6" s="13">
        <v>30000</v>
      </c>
      <c r="C6" s="14" t="s">
        <v>316</v>
      </c>
      <c r="D6" s="15">
        <f>B14</f>
        <v>343200</v>
      </c>
      <c r="G6" s="11"/>
    </row>
    <row r="7" spans="1:7" x14ac:dyDescent="0.25">
      <c r="A7" s="12" t="s">
        <v>347</v>
      </c>
      <c r="B7" s="13">
        <v>88000</v>
      </c>
      <c r="C7" s="14"/>
      <c r="D7" s="15"/>
      <c r="G7" s="11"/>
    </row>
    <row r="8" spans="1:7" x14ac:dyDescent="0.25">
      <c r="A8" s="12" t="s">
        <v>335</v>
      </c>
      <c r="B8" s="13">
        <v>100000</v>
      </c>
      <c r="C8" s="14"/>
      <c r="D8" s="15"/>
      <c r="G8" s="11"/>
    </row>
    <row r="9" spans="1:7" x14ac:dyDescent="0.25">
      <c r="A9" s="12" t="s">
        <v>348</v>
      </c>
      <c r="B9" s="13">
        <v>15000</v>
      </c>
      <c r="C9" s="14"/>
      <c r="D9" s="15"/>
      <c r="G9" s="11"/>
    </row>
    <row r="10" spans="1:7" x14ac:dyDescent="0.25">
      <c r="A10" s="12" t="s">
        <v>311</v>
      </c>
      <c r="B10" s="13">
        <f ca="1">C58</f>
        <v>124891.34077079108</v>
      </c>
      <c r="C10" s="14" t="s">
        <v>336</v>
      </c>
      <c r="D10" s="15">
        <f>B6</f>
        <v>30000</v>
      </c>
      <c r="G10" s="11"/>
    </row>
    <row r="11" spans="1:7" ht="15.75" customHeight="1" x14ac:dyDescent="0.25">
      <c r="A11" s="17" t="s">
        <v>12</v>
      </c>
      <c r="B11" s="18">
        <v>3432000</v>
      </c>
      <c r="C11" s="19" t="s">
        <v>338</v>
      </c>
      <c r="D11" s="20">
        <f>B8</f>
        <v>100000</v>
      </c>
      <c r="F11" s="4" t="s">
        <v>13</v>
      </c>
      <c r="G11" s="11">
        <f>B14</f>
        <v>343200</v>
      </c>
    </row>
    <row r="12" spans="1:7" ht="15.75" customHeight="1" x14ac:dyDescent="0.25">
      <c r="A12" s="12" t="s">
        <v>337</v>
      </c>
      <c r="B12" s="13">
        <f>B11*5%+SUM(C54:C55)*5%</f>
        <v>175600</v>
      </c>
      <c r="C12" s="14"/>
      <c r="D12" s="15"/>
      <c r="G12" s="11"/>
    </row>
    <row r="13" spans="1:7" ht="15.75" customHeight="1" x14ac:dyDescent="0.25">
      <c r="A13" s="12" t="s">
        <v>310</v>
      </c>
      <c r="B13" s="13">
        <f>B6*B24</f>
        <v>6000</v>
      </c>
      <c r="C13" s="14"/>
      <c r="D13" s="15"/>
      <c r="G13" s="11"/>
    </row>
    <row r="14" spans="1:7" ht="15.75" customHeight="1" x14ac:dyDescent="0.25">
      <c r="A14" s="21" t="s">
        <v>14</v>
      </c>
      <c r="B14" s="22">
        <f>B11*B25</f>
        <v>343200</v>
      </c>
      <c r="C14" s="23"/>
      <c r="D14" s="24"/>
      <c r="F14" s="4" t="s">
        <v>15</v>
      </c>
      <c r="G14">
        <f ca="1">B15</f>
        <v>4879724.3407707913</v>
      </c>
    </row>
    <row r="15" spans="1:7" ht="15.75" customHeight="1" x14ac:dyDescent="0.25">
      <c r="A15" t="s">
        <v>16</v>
      </c>
      <c r="B15" s="426">
        <f ca="1">SUM(B4:B14)</f>
        <v>4879724.3407707913</v>
      </c>
      <c r="C15" s="25" t="s">
        <v>17</v>
      </c>
      <c r="D15" s="426">
        <f ca="1">SUM(D4:D14)</f>
        <v>4879724.3407707913</v>
      </c>
      <c r="F15" s="4" t="s">
        <v>18</v>
      </c>
    </row>
    <row r="16" spans="1:7" ht="15.75" customHeight="1" x14ac:dyDescent="0.25">
      <c r="A16" s="26" t="s">
        <v>19</v>
      </c>
      <c r="B16" s="27">
        <f>B4/B17</f>
        <v>424</v>
      </c>
      <c r="C16" s="25"/>
      <c r="F16" s="4" t="s">
        <v>20</v>
      </c>
      <c r="G16" s="28">
        <f ca="1">B31</f>
        <v>1300000</v>
      </c>
    </row>
    <row r="17" spans="1:7" x14ac:dyDescent="0.25">
      <c r="A17" s="12" t="s">
        <v>21</v>
      </c>
      <c r="B17" s="29">
        <f>'Etat locatif prévi'!F4</f>
        <v>1250</v>
      </c>
      <c r="C17" s="25"/>
      <c r="D17" s="11"/>
      <c r="F17" s="4" t="s">
        <v>22</v>
      </c>
      <c r="G17" s="28">
        <f ca="1">B32</f>
        <v>3903779.4726166334</v>
      </c>
    </row>
    <row r="18" spans="1:7" x14ac:dyDescent="0.25">
      <c r="A18" s="12" t="s">
        <v>23</v>
      </c>
      <c r="B18" s="30">
        <f>B11/C63</f>
        <v>2745.6</v>
      </c>
      <c r="C18" s="25"/>
      <c r="F18" s="4" t="s">
        <v>24</v>
      </c>
      <c r="G18" s="28">
        <f ca="1">B19</f>
        <v>44891.340770791081</v>
      </c>
    </row>
    <row r="19" spans="1:7" x14ac:dyDescent="0.25">
      <c r="A19" s="12" t="s">
        <v>25</v>
      </c>
      <c r="B19" s="30">
        <f ca="1">C56</f>
        <v>44891.340770791081</v>
      </c>
      <c r="C19" s="25"/>
    </row>
    <row r="20" spans="1:7" x14ac:dyDescent="0.25">
      <c r="A20" s="12" t="s">
        <v>26</v>
      </c>
      <c r="B20" s="31">
        <f>B27+B28</f>
        <v>6.6099999999999992E-2</v>
      </c>
      <c r="C20" s="25"/>
    </row>
    <row r="21" spans="1:7" x14ac:dyDescent="0.25">
      <c r="A21" s="12" t="s">
        <v>27</v>
      </c>
      <c r="B21" s="30">
        <v>25</v>
      </c>
      <c r="C21" s="25"/>
    </row>
    <row r="22" spans="1:7" x14ac:dyDescent="0.25">
      <c r="A22" s="12" t="s">
        <v>340</v>
      </c>
      <c r="B22" s="30">
        <f>C22</f>
        <v>0.05</v>
      </c>
      <c r="C22" s="473">
        <v>0.05</v>
      </c>
    </row>
    <row r="23" spans="1:7" x14ac:dyDescent="0.25">
      <c r="A23" s="12" t="s">
        <v>28</v>
      </c>
      <c r="B23" s="31">
        <v>0.05</v>
      </c>
      <c r="C23" s="25"/>
    </row>
    <row r="24" spans="1:7" x14ac:dyDescent="0.25">
      <c r="A24" s="12" t="s">
        <v>309</v>
      </c>
      <c r="B24" s="31">
        <v>0.2</v>
      </c>
      <c r="C24" s="25"/>
    </row>
    <row r="25" spans="1:7" x14ac:dyDescent="0.25">
      <c r="A25" s="21" t="s">
        <v>29</v>
      </c>
      <c r="B25" s="31">
        <v>0.1</v>
      </c>
      <c r="C25" s="32"/>
    </row>
    <row r="26" spans="1:7" ht="15.75" customHeight="1" x14ac:dyDescent="0.25">
      <c r="A26" s="33"/>
      <c r="B26" s="479" t="s">
        <v>30</v>
      </c>
      <c r="C26" s="479"/>
      <c r="D26" s="34" t="s">
        <v>31</v>
      </c>
    </row>
    <row r="27" spans="1:7" ht="15.75" customHeight="1" x14ac:dyDescent="0.25">
      <c r="A27" s="12" t="s">
        <v>32</v>
      </c>
      <c r="B27" s="35">
        <v>5.8099999999999999E-2</v>
      </c>
      <c r="C27" s="36">
        <f>B4</f>
        <v>530000</v>
      </c>
      <c r="D27" s="37">
        <f>B4*B27</f>
        <v>30793</v>
      </c>
    </row>
    <row r="28" spans="1:7" x14ac:dyDescent="0.25">
      <c r="A28" s="12" t="s">
        <v>33</v>
      </c>
      <c r="B28" s="38">
        <v>8.0000000000000002E-3</v>
      </c>
      <c r="C28" s="39">
        <f>B4</f>
        <v>530000</v>
      </c>
      <c r="D28" s="37">
        <f>C28*B28</f>
        <v>4240</v>
      </c>
    </row>
    <row r="29" spans="1:7" x14ac:dyDescent="0.25">
      <c r="A29" s="21" t="s">
        <v>34</v>
      </c>
      <c r="B29" s="40">
        <f>SUM(B27:B28)</f>
        <v>6.6099999999999992E-2</v>
      </c>
      <c r="C29" s="41"/>
      <c r="D29" s="42">
        <f>SUM(D27:D28)</f>
        <v>35033</v>
      </c>
    </row>
    <row r="30" spans="1:7" x14ac:dyDescent="0.25">
      <c r="A30" s="33" t="s">
        <v>362</v>
      </c>
      <c r="B30" s="43">
        <f ca="1">B15</f>
        <v>4879724.3407707913</v>
      </c>
      <c r="C30" s="44"/>
      <c r="D30" s="45"/>
    </row>
    <row r="31" spans="1:7" x14ac:dyDescent="0.25">
      <c r="A31" s="12" t="s">
        <v>20</v>
      </c>
      <c r="B31" s="46">
        <f ca="1">ROUNDUP(B30*B33,-5)</f>
        <v>1300000</v>
      </c>
      <c r="C31" s="25"/>
      <c r="D31" s="47"/>
    </row>
    <row r="32" spans="1:7" x14ac:dyDescent="0.25">
      <c r="A32" s="12" t="s">
        <v>35</v>
      </c>
      <c r="B32" s="46">
        <f ca="1">B30*B34</f>
        <v>3903779.4726166334</v>
      </c>
      <c r="C32" s="25"/>
      <c r="D32" s="47"/>
    </row>
    <row r="33" spans="1:6" x14ac:dyDescent="0.25">
      <c r="A33" s="12" t="s">
        <v>36</v>
      </c>
      <c r="B33" s="48">
        <v>0.25</v>
      </c>
      <c r="C33" s="25"/>
      <c r="D33" s="47"/>
    </row>
    <row r="34" spans="1:6" x14ac:dyDescent="0.25">
      <c r="A34" s="12" t="s">
        <v>37</v>
      </c>
      <c r="B34" s="48">
        <v>0.8</v>
      </c>
      <c r="C34" s="25"/>
      <c r="D34" s="47"/>
    </row>
    <row r="35" spans="1:6" x14ac:dyDescent="0.25">
      <c r="A35" s="12" t="s">
        <v>38</v>
      </c>
      <c r="B35" s="46">
        <f ca="1">D4</f>
        <v>1300000</v>
      </c>
      <c r="C35" s="25"/>
      <c r="D35" s="47"/>
    </row>
    <row r="36" spans="1:6" x14ac:dyDescent="0.25">
      <c r="A36" s="12" t="s">
        <v>39</v>
      </c>
      <c r="B36" s="46">
        <v>0</v>
      </c>
      <c r="C36" s="25"/>
      <c r="D36" s="47"/>
    </row>
    <row r="37" spans="1:6" x14ac:dyDescent="0.25">
      <c r="A37" s="12" t="s">
        <v>40</v>
      </c>
      <c r="B37" s="46">
        <f ca="1">SUM(B35:B36)</f>
        <v>1300000</v>
      </c>
      <c r="C37" s="25"/>
      <c r="D37" s="47"/>
    </row>
    <row r="38" spans="1:6" x14ac:dyDescent="0.25">
      <c r="A38" s="21" t="s">
        <v>41</v>
      </c>
      <c r="B38" s="49">
        <f ca="1">D5</f>
        <v>3106524.3407707913</v>
      </c>
      <c r="C38" s="50"/>
      <c r="D38" s="51"/>
    </row>
    <row r="39" spans="1:6" x14ac:dyDescent="0.25">
      <c r="A39" s="33" t="s">
        <v>42</v>
      </c>
      <c r="B39" s="52">
        <v>1</v>
      </c>
      <c r="C39" s="53">
        <f ca="1">-D4*B39</f>
        <v>-1300000</v>
      </c>
    </row>
    <row r="40" spans="1:6" x14ac:dyDescent="0.25">
      <c r="A40" s="12" t="s">
        <v>43</v>
      </c>
      <c r="B40" s="48">
        <v>0</v>
      </c>
      <c r="C40" s="30">
        <f ca="1">-D4*B40</f>
        <v>0</v>
      </c>
    </row>
    <row r="41" spans="1:6" x14ac:dyDescent="0.25">
      <c r="A41" s="21" t="s">
        <v>44</v>
      </c>
      <c r="B41" s="54">
        <f>SUM(B39:B40)</f>
        <v>1</v>
      </c>
      <c r="C41" s="42">
        <f ca="1">SUM(C39:C40)</f>
        <v>-1300000</v>
      </c>
    </row>
    <row r="42" spans="1:6" x14ac:dyDescent="0.25">
      <c r="A42" s="12" t="s">
        <v>45</v>
      </c>
      <c r="B42" s="55"/>
      <c r="C42" s="56"/>
    </row>
    <row r="43" spans="1:6" x14ac:dyDescent="0.25">
      <c r="A43" s="12" t="s">
        <v>46</v>
      </c>
      <c r="B43" s="57">
        <v>0</v>
      </c>
      <c r="C43" s="28"/>
    </row>
    <row r="44" spans="1:6" x14ac:dyDescent="0.25">
      <c r="A44" s="12" t="s">
        <v>47</v>
      </c>
      <c r="B44" s="57">
        <v>0</v>
      </c>
      <c r="C44" s="28"/>
    </row>
    <row r="45" spans="1:6" x14ac:dyDescent="0.25">
      <c r="A45" s="12" t="s">
        <v>48</v>
      </c>
      <c r="B45" s="58">
        <v>0</v>
      </c>
      <c r="C45" s="59"/>
    </row>
    <row r="46" spans="1:6" ht="15.75" customHeight="1" x14ac:dyDescent="0.25">
      <c r="A46" s="33" t="s">
        <v>49</v>
      </c>
      <c r="B46" s="60" t="s">
        <v>50</v>
      </c>
      <c r="C46" s="61" t="s">
        <v>51</v>
      </c>
      <c r="D46" s="61" t="s">
        <v>52</v>
      </c>
      <c r="E46" s="62" t="s">
        <v>53</v>
      </c>
      <c r="F46" s="63" t="s">
        <v>54</v>
      </c>
    </row>
    <row r="47" spans="1:6" ht="15.75" customHeight="1" x14ac:dyDescent="0.25">
      <c r="A47" s="12" t="s">
        <v>55</v>
      </c>
      <c r="B47" s="64">
        <v>0.04</v>
      </c>
      <c r="C47" s="65">
        <f ca="1">B32</f>
        <v>3903779.4726166334</v>
      </c>
      <c r="D47" s="66">
        <f ca="1">C47+(C47*B47)</f>
        <v>4059930.6515212986</v>
      </c>
      <c r="E47" s="4"/>
      <c r="F47" s="67"/>
    </row>
    <row r="48" spans="1:6" x14ac:dyDescent="0.25">
      <c r="A48" s="12" t="s">
        <v>56</v>
      </c>
      <c r="B48" s="64">
        <v>0</v>
      </c>
      <c r="C48" s="65">
        <f ca="1">B31</f>
        <v>1300000</v>
      </c>
      <c r="D48" s="66">
        <f>B43*F48</f>
        <v>0</v>
      </c>
      <c r="E48" s="4">
        <f>1+(1*B48)</f>
        <v>1</v>
      </c>
      <c r="F48" s="67">
        <f>E48^2</f>
        <v>1</v>
      </c>
    </row>
    <row r="49" spans="1:7" x14ac:dyDescent="0.25">
      <c r="A49" s="21" t="s">
        <v>34</v>
      </c>
      <c r="B49" s="68"/>
      <c r="C49" s="69">
        <f ca="1">+SUM(C47:C48)</f>
        <v>5203779.4726166334</v>
      </c>
      <c r="D49" s="69">
        <f ca="1">+SUM(D47:D48)</f>
        <v>4059930.6515212986</v>
      </c>
      <c r="E49" s="70"/>
      <c r="F49" s="71"/>
    </row>
    <row r="50" spans="1:7" x14ac:dyDescent="0.25">
      <c r="A50" s="12" t="s">
        <v>57</v>
      </c>
    </row>
    <row r="51" spans="1:7" x14ac:dyDescent="0.25">
      <c r="A51" s="33" t="s">
        <v>58</v>
      </c>
      <c r="B51" s="72">
        <v>5</v>
      </c>
      <c r="C51" s="73">
        <v>0.2</v>
      </c>
    </row>
    <row r="52" spans="1:7" x14ac:dyDescent="0.25">
      <c r="A52" s="12" t="s">
        <v>59</v>
      </c>
      <c r="B52" s="74">
        <v>10</v>
      </c>
      <c r="C52" s="75">
        <v>0.1</v>
      </c>
    </row>
    <row r="53" spans="1:7" x14ac:dyDescent="0.25">
      <c r="A53" s="21" t="s">
        <v>60</v>
      </c>
      <c r="B53" s="76">
        <v>15</v>
      </c>
      <c r="C53" s="77">
        <v>6.6699999999999995E-2</v>
      </c>
    </row>
    <row r="54" spans="1:7" x14ac:dyDescent="0.25">
      <c r="A54" s="33" t="s">
        <v>312</v>
      </c>
      <c r="B54" s="72"/>
      <c r="C54" s="427">
        <v>60000</v>
      </c>
    </row>
    <row r="55" spans="1:7" x14ac:dyDescent="0.25">
      <c r="A55" s="12" t="s">
        <v>313</v>
      </c>
      <c r="B55" s="74"/>
      <c r="C55" s="428">
        <v>20000</v>
      </c>
    </row>
    <row r="56" spans="1:7" x14ac:dyDescent="0.25">
      <c r="A56" s="12" t="s">
        <v>314</v>
      </c>
      <c r="B56" s="430">
        <v>1.4E-2</v>
      </c>
      <c r="C56" s="428">
        <f ca="1">(D5*B56)+(D11*B56)</f>
        <v>44891.340770791081</v>
      </c>
    </row>
    <row r="57" spans="1:7" x14ac:dyDescent="0.25">
      <c r="A57" s="12"/>
      <c r="B57" s="74"/>
      <c r="C57" s="428"/>
    </row>
    <row r="58" spans="1:7" x14ac:dyDescent="0.25">
      <c r="A58" s="21" t="s">
        <v>315</v>
      </c>
      <c r="B58" s="76"/>
      <c r="C58" s="429">
        <f ca="1">SUM(C54:C57)</f>
        <v>124891.34077079108</v>
      </c>
    </row>
    <row r="59" spans="1:7" x14ac:dyDescent="0.25">
      <c r="A59" s="12"/>
    </row>
    <row r="60" spans="1:7" s="82" customFormat="1" ht="26.25" customHeight="1" x14ac:dyDescent="0.25">
      <c r="A60" s="78" t="s">
        <v>61</v>
      </c>
      <c r="B60" s="79" t="s">
        <v>62</v>
      </c>
      <c r="C60" s="80" t="s">
        <v>63</v>
      </c>
      <c r="D60" s="80" t="s">
        <v>64</v>
      </c>
      <c r="E60" s="80" t="s">
        <v>65</v>
      </c>
      <c r="F60" s="80" t="s">
        <v>66</v>
      </c>
      <c r="G60" s="81" t="s">
        <v>67</v>
      </c>
    </row>
    <row r="61" spans="1:7" s="82" customFormat="1" ht="15.75" customHeight="1" x14ac:dyDescent="0.25">
      <c r="A61" s="83" t="s">
        <v>68</v>
      </c>
      <c r="B61" s="84" t="s">
        <v>69</v>
      </c>
      <c r="C61" s="85">
        <v>1250</v>
      </c>
      <c r="D61" s="86">
        <v>456.96</v>
      </c>
      <c r="E61" s="87">
        <f>ROUNDDOWN(C61*D61,-2)</f>
        <v>571200</v>
      </c>
      <c r="F61" s="88">
        <v>0.1</v>
      </c>
      <c r="G61" s="89">
        <f>E61/F61</f>
        <v>5712000</v>
      </c>
    </row>
    <row r="62" spans="1:7" s="82" customFormat="1" x14ac:dyDescent="0.25">
      <c r="A62" s="83"/>
      <c r="B62" s="84"/>
      <c r="C62" s="85"/>
      <c r="D62" s="86"/>
      <c r="E62" s="87">
        <f>C62*D62</f>
        <v>0</v>
      </c>
      <c r="F62" s="88"/>
      <c r="G62" s="89"/>
    </row>
    <row r="63" spans="1:7" s="82" customFormat="1" x14ac:dyDescent="0.25">
      <c r="A63" s="90" t="s">
        <v>70</v>
      </c>
      <c r="B63" s="91"/>
      <c r="C63" s="92">
        <f>SUM(C61:C62)</f>
        <v>1250</v>
      </c>
      <c r="D63" s="93"/>
      <c r="E63" s="94">
        <f>SUM(E61:E62)</f>
        <v>571200</v>
      </c>
      <c r="F63" s="95"/>
      <c r="G63" s="96"/>
    </row>
    <row r="64" spans="1:7" s="82" customFormat="1" x14ac:dyDescent="0.25">
      <c r="A64" s="97" t="s">
        <v>71</v>
      </c>
      <c r="B64" s="98"/>
      <c r="C64" s="99">
        <v>0</v>
      </c>
      <c r="D64" s="100"/>
      <c r="E64" s="101">
        <f>C66*D64</f>
        <v>0</v>
      </c>
      <c r="F64" s="102"/>
      <c r="G64" s="103" t="e">
        <f>E64/F64</f>
        <v>#DIV/0!</v>
      </c>
    </row>
    <row r="65" spans="1:7" s="82" customFormat="1" x14ac:dyDescent="0.25">
      <c r="A65" s="97"/>
      <c r="B65" s="98"/>
      <c r="C65" s="99">
        <v>0</v>
      </c>
      <c r="D65" s="100"/>
      <c r="E65" s="101"/>
      <c r="F65" s="102"/>
      <c r="G65" s="103"/>
    </row>
    <row r="66" spans="1:7" s="82" customFormat="1" x14ac:dyDescent="0.25">
      <c r="A66" s="104" t="s">
        <v>70</v>
      </c>
      <c r="B66" s="105"/>
      <c r="C66" s="106">
        <f>SUM(C64:C65)</f>
        <v>0</v>
      </c>
      <c r="D66" s="107"/>
      <c r="E66" s="108"/>
      <c r="F66" s="109"/>
      <c r="G66" s="110"/>
    </row>
  </sheetData>
  <mergeCells count="1">
    <mergeCell ref="B26:C26"/>
  </mergeCells>
  <pageMargins left="0.70833333333333304" right="0.70833333333333304" top="0.74861111111111101" bottom="0.74861111111111101" header="0.31527777777777799" footer="0.31527777777777799"/>
  <pageSetup paperSize="9" orientation="portrait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8"/>
  <sheetViews>
    <sheetView showGridLines="0" zoomScaleNormal="100" workbookViewId="0">
      <selection activeCell="Q4" sqref="Q4"/>
    </sheetView>
  </sheetViews>
  <sheetFormatPr baseColWidth="10" defaultColWidth="11.42578125" defaultRowHeight="15" customHeight="1" x14ac:dyDescent="0.25"/>
  <cols>
    <col min="1" max="1" width="27.7109375" style="111" customWidth="1"/>
    <col min="2" max="2" width="11.28515625" style="112" customWidth="1"/>
    <col min="3" max="3" width="16.140625" style="112" customWidth="1"/>
    <col min="4" max="4" width="13.5703125" style="112" customWidth="1"/>
    <col min="5" max="5" width="11.7109375" style="112" customWidth="1"/>
    <col min="6" max="6" width="13.85546875" style="112" customWidth="1"/>
    <col min="7" max="7" width="13.7109375" style="111" customWidth="1"/>
    <col min="8" max="8" width="15.7109375" style="112" customWidth="1"/>
    <col min="9" max="9" width="14.7109375" style="111" customWidth="1"/>
    <col min="10" max="10" width="13.7109375" style="111" customWidth="1"/>
    <col min="11" max="11" width="13.85546875" style="112" customWidth="1"/>
    <col min="12" max="12" width="9.42578125" style="112" customWidth="1"/>
    <col min="13" max="13" width="9.7109375" style="112" customWidth="1"/>
    <col min="14" max="14" width="15.28515625" style="112" customWidth="1"/>
    <col min="15" max="15" width="15.7109375" style="112" customWidth="1"/>
    <col min="16" max="19" width="12.28515625" style="112" customWidth="1"/>
    <col min="20" max="20" width="14.7109375" style="112" customWidth="1"/>
    <col min="21" max="21" width="15.7109375" style="111" customWidth="1"/>
    <col min="22" max="16384" width="11.42578125" style="111"/>
  </cols>
  <sheetData>
    <row r="1" spans="1:21" s="112" customFormat="1" ht="53.25" customHeight="1" x14ac:dyDescent="0.25">
      <c r="A1" s="113" t="s">
        <v>72</v>
      </c>
      <c r="B1" s="114" t="s">
        <v>73</v>
      </c>
      <c r="C1" s="114" t="s">
        <v>74</v>
      </c>
      <c r="D1" s="114" t="s">
        <v>75</v>
      </c>
      <c r="E1" s="3" t="s">
        <v>76</v>
      </c>
      <c r="F1" s="114" t="s">
        <v>77</v>
      </c>
      <c r="G1" s="114" t="s">
        <v>78</v>
      </c>
      <c r="H1" s="3" t="s">
        <v>79</v>
      </c>
      <c r="I1" s="3" t="s">
        <v>80</v>
      </c>
      <c r="J1" s="3" t="s">
        <v>81</v>
      </c>
      <c r="K1" s="114" t="s">
        <v>82</v>
      </c>
      <c r="L1" s="480" t="s">
        <v>83</v>
      </c>
      <c r="M1" s="480"/>
      <c r="N1" s="3" t="s">
        <v>84</v>
      </c>
      <c r="O1" s="114" t="s">
        <v>85</v>
      </c>
      <c r="P1" s="3" t="s">
        <v>86</v>
      </c>
      <c r="Q1" s="114" t="s">
        <v>87</v>
      </c>
      <c r="R1" s="114" t="s">
        <v>88</v>
      </c>
      <c r="S1" s="114" t="s">
        <v>89</v>
      </c>
      <c r="T1" s="3" t="s">
        <v>90</v>
      </c>
      <c r="U1" s="115" t="s">
        <v>91</v>
      </c>
    </row>
    <row r="2" spans="1:21" s="112" customFormat="1" ht="24" customHeight="1" x14ac:dyDescent="0.25">
      <c r="A2" s="116">
        <f>'Plan de financement_input immo '!B1</f>
        <v>46058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 t="s">
        <v>30</v>
      </c>
      <c r="M2" s="117" t="s">
        <v>92</v>
      </c>
      <c r="N2" s="117" t="s">
        <v>84</v>
      </c>
      <c r="O2" s="118">
        <v>45627</v>
      </c>
      <c r="P2" s="117"/>
      <c r="Q2" s="117"/>
      <c r="R2" s="117"/>
      <c r="S2" s="117"/>
      <c r="T2" s="117"/>
      <c r="U2" s="119"/>
    </row>
    <row r="3" spans="1:21" ht="26.25" customHeight="1" x14ac:dyDescent="0.25">
      <c r="A3" s="120" t="s">
        <v>339</v>
      </c>
      <c r="B3" s="121"/>
      <c r="C3" s="122" t="s">
        <v>93</v>
      </c>
      <c r="D3" s="122"/>
      <c r="E3" s="123"/>
      <c r="F3" s="123"/>
      <c r="G3" s="124"/>
      <c r="H3" s="122"/>
      <c r="I3" s="125"/>
      <c r="J3" s="125"/>
      <c r="K3" s="126"/>
      <c r="L3" s="122"/>
      <c r="M3" s="122"/>
      <c r="N3" s="122"/>
      <c r="O3" s="122"/>
      <c r="P3" s="126"/>
      <c r="Q3" s="122"/>
      <c r="R3" s="122"/>
      <c r="S3" s="122"/>
      <c r="T3" s="122"/>
      <c r="U3" s="127"/>
    </row>
    <row r="4" spans="1:21" ht="15" customHeight="1" x14ac:dyDescent="0.25">
      <c r="A4" s="481"/>
      <c r="B4" s="128"/>
      <c r="C4" s="129" t="s">
        <v>341</v>
      </c>
      <c r="D4" s="129"/>
      <c r="E4" s="130">
        <f>'Plan de financement_input immo '!C63</f>
        <v>1250</v>
      </c>
      <c r="F4" s="130">
        <f>E4-G40</f>
        <v>1250</v>
      </c>
      <c r="G4" s="130">
        <v>0</v>
      </c>
      <c r="H4" s="129" t="s">
        <v>317</v>
      </c>
      <c r="I4" s="131">
        <v>46905</v>
      </c>
      <c r="J4" s="131">
        <v>50405</v>
      </c>
      <c r="K4" s="132"/>
      <c r="L4" s="132" t="s">
        <v>94</v>
      </c>
      <c r="M4" s="132"/>
      <c r="N4" s="132"/>
      <c r="O4" s="132">
        <f>'Plan de financement_input immo '!E61</f>
        <v>571200</v>
      </c>
      <c r="P4" s="133"/>
      <c r="Q4" s="132">
        <f>O4*'Plan de financement_input immo '!C22</f>
        <v>28560</v>
      </c>
      <c r="R4" s="132">
        <f>'Plan de financement_input immo '!B17*'Plan de financement_input immo '!B21</f>
        <v>31250</v>
      </c>
      <c r="S4" s="132" t="s">
        <v>95</v>
      </c>
      <c r="T4" s="129" t="s">
        <v>96</v>
      </c>
      <c r="U4" s="134" t="s">
        <v>97</v>
      </c>
    </row>
    <row r="5" spans="1:21" ht="15" customHeight="1" x14ac:dyDescent="0.25">
      <c r="A5" s="481"/>
      <c r="B5" s="135"/>
      <c r="C5" s="136"/>
      <c r="D5" s="136"/>
      <c r="E5" s="130"/>
      <c r="F5" s="137"/>
      <c r="G5" s="136"/>
      <c r="H5" s="136"/>
      <c r="I5" s="131"/>
      <c r="J5" s="131"/>
      <c r="K5" s="133"/>
      <c r="L5" s="133"/>
      <c r="M5" s="133"/>
      <c r="N5" s="133"/>
      <c r="O5" s="133"/>
      <c r="P5" s="133"/>
      <c r="Q5" s="133"/>
      <c r="R5" s="133"/>
      <c r="S5" s="133"/>
      <c r="T5" s="129"/>
      <c r="U5" s="134"/>
    </row>
    <row r="6" spans="1:21" ht="15" customHeight="1" x14ac:dyDescent="0.25">
      <c r="A6" s="481"/>
      <c r="B6" s="135"/>
      <c r="C6" s="136"/>
      <c r="D6" s="136"/>
      <c r="E6" s="137"/>
      <c r="F6" s="137"/>
      <c r="G6" s="136"/>
      <c r="H6" s="136"/>
      <c r="I6" s="131"/>
      <c r="J6" s="131"/>
      <c r="K6" s="133"/>
      <c r="L6" s="133"/>
      <c r="M6" s="133"/>
      <c r="N6" s="133"/>
      <c r="O6" s="133"/>
      <c r="P6" s="133"/>
      <c r="Q6" s="133"/>
      <c r="R6" s="133"/>
      <c r="S6" s="133"/>
      <c r="T6" s="136"/>
      <c r="U6" s="138"/>
    </row>
    <row r="7" spans="1:21" ht="15" customHeight="1" x14ac:dyDescent="0.25">
      <c r="A7" s="481"/>
      <c r="B7" s="139"/>
      <c r="C7" s="140"/>
      <c r="D7" s="140"/>
      <c r="E7" s="141"/>
      <c r="F7" s="141"/>
      <c r="G7" s="140"/>
      <c r="H7" s="140"/>
      <c r="I7" s="142"/>
      <c r="J7" s="142"/>
      <c r="K7" s="143"/>
      <c r="L7" s="143"/>
      <c r="M7" s="143"/>
      <c r="N7" s="143"/>
      <c r="O7" s="143"/>
      <c r="P7" s="143"/>
      <c r="Q7" s="143"/>
      <c r="R7" s="143"/>
      <c r="S7" s="143"/>
      <c r="T7" s="140"/>
      <c r="U7" s="144"/>
    </row>
    <row r="8" spans="1:21" s="153" customFormat="1" ht="19.5" customHeight="1" x14ac:dyDescent="0.25">
      <c r="A8" s="145" t="s">
        <v>98</v>
      </c>
      <c r="B8" s="146"/>
      <c r="C8" s="147"/>
      <c r="D8" s="147"/>
      <c r="E8" s="148">
        <f>SUM(E4:E7)</f>
        <v>1250</v>
      </c>
      <c r="F8" s="149"/>
      <c r="G8" s="147"/>
      <c r="H8" s="147"/>
      <c r="I8" s="150"/>
      <c r="J8" s="150"/>
      <c r="K8" s="151"/>
      <c r="L8" s="151"/>
      <c r="M8" s="151"/>
      <c r="N8" s="151"/>
      <c r="O8" s="151">
        <f>SUM(O4:O7)</f>
        <v>571200</v>
      </c>
      <c r="P8" s="151">
        <f>SUM(P4:P7)</f>
        <v>0</v>
      </c>
      <c r="Q8" s="151">
        <f>SUM(Q4:Q7)</f>
        <v>28560</v>
      </c>
      <c r="R8" s="151">
        <f>SUM(R4:R7)</f>
        <v>31250</v>
      </c>
      <c r="S8" s="151">
        <f>SUM(S4:S7)</f>
        <v>0</v>
      </c>
      <c r="T8" s="147"/>
      <c r="U8" s="152"/>
    </row>
    <row r="9" spans="1:21" x14ac:dyDescent="0.25">
      <c r="A9" s="154" t="s">
        <v>99</v>
      </c>
      <c r="B9" s="155"/>
      <c r="C9" s="156"/>
      <c r="D9" s="156"/>
      <c r="E9" s="157"/>
      <c r="F9" s="157"/>
      <c r="G9" s="156"/>
      <c r="H9" s="156"/>
      <c r="I9" s="158"/>
      <c r="J9" s="158"/>
      <c r="K9" s="159"/>
      <c r="L9" s="159"/>
      <c r="M9" s="159"/>
      <c r="N9" s="159"/>
      <c r="O9" s="159"/>
      <c r="P9" s="159"/>
      <c r="Q9" s="159"/>
      <c r="R9" s="159"/>
      <c r="S9" s="159"/>
      <c r="T9" s="156"/>
      <c r="U9" s="160"/>
    </row>
    <row r="10" spans="1:21" x14ac:dyDescent="0.25">
      <c r="A10" s="161"/>
      <c r="B10" s="135"/>
      <c r="C10" s="136"/>
      <c r="D10" s="136"/>
      <c r="E10" s="137"/>
      <c r="F10" s="137"/>
      <c r="G10" s="136"/>
      <c r="H10" s="136"/>
      <c r="I10" s="162"/>
      <c r="J10" s="162"/>
      <c r="K10" s="133"/>
      <c r="L10" s="133"/>
      <c r="M10" s="133"/>
      <c r="N10" s="133"/>
      <c r="O10" s="133"/>
      <c r="P10" s="133"/>
      <c r="Q10" s="133"/>
      <c r="R10" s="133"/>
      <c r="S10" s="133"/>
      <c r="T10" s="136"/>
      <c r="U10" s="138"/>
    </row>
    <row r="11" spans="1:21" ht="15.75" customHeight="1" x14ac:dyDescent="0.25">
      <c r="A11" s="161"/>
      <c r="B11" s="163"/>
      <c r="C11" s="164"/>
      <c r="D11" s="164"/>
      <c r="E11" s="165"/>
      <c r="F11" s="165"/>
      <c r="G11" s="164"/>
      <c r="H11" s="164"/>
      <c r="I11" s="166"/>
      <c r="J11" s="167"/>
      <c r="K11" s="168"/>
      <c r="L11" s="168"/>
      <c r="M11" s="168"/>
      <c r="N11" s="168"/>
      <c r="O11" s="168"/>
      <c r="P11" s="168"/>
      <c r="Q11" s="168"/>
      <c r="R11" s="168"/>
      <c r="S11" s="168"/>
      <c r="T11" s="164"/>
      <c r="U11" s="169"/>
    </row>
    <row r="12" spans="1:21" s="153" customFormat="1" ht="19.5" customHeight="1" x14ac:dyDescent="0.25">
      <c r="A12" s="145" t="s">
        <v>98</v>
      </c>
      <c r="B12" s="146"/>
      <c r="C12" s="147"/>
      <c r="D12" s="147"/>
      <c r="E12" s="170">
        <f>SUM(E9:E11)</f>
        <v>0</v>
      </c>
      <c r="F12" s="171"/>
      <c r="G12" s="147"/>
      <c r="H12" s="147"/>
      <c r="I12" s="150"/>
      <c r="J12" s="150"/>
      <c r="K12" s="151"/>
      <c r="L12" s="151"/>
      <c r="M12" s="151"/>
      <c r="N12" s="151"/>
      <c r="O12" s="151">
        <f>SUM(O9:O11)</f>
        <v>0</v>
      </c>
      <c r="P12" s="151">
        <f>SUM(P9:P11)</f>
        <v>0</v>
      </c>
      <c r="Q12" s="151">
        <f>SUM(Q9:Q11)</f>
        <v>0</v>
      </c>
      <c r="R12" s="151">
        <f>SUM(R9:R11)</f>
        <v>0</v>
      </c>
      <c r="S12" s="151">
        <f>SUM(S9:S11)</f>
        <v>0</v>
      </c>
      <c r="T12" s="147"/>
      <c r="U12" s="152"/>
    </row>
    <row r="13" spans="1:21" x14ac:dyDescent="0.25">
      <c r="A13" s="154" t="s">
        <v>99</v>
      </c>
      <c r="B13" s="155"/>
      <c r="C13" s="156"/>
      <c r="D13" s="156"/>
      <c r="E13" s="157"/>
      <c r="F13" s="157"/>
      <c r="G13" s="156"/>
      <c r="H13" s="156"/>
      <c r="I13" s="158"/>
      <c r="J13" s="158"/>
      <c r="K13" s="159"/>
      <c r="L13" s="159"/>
      <c r="M13" s="159"/>
      <c r="N13" s="159"/>
      <c r="O13" s="159"/>
      <c r="P13" s="159"/>
      <c r="Q13" s="159"/>
      <c r="R13" s="159"/>
      <c r="S13" s="159"/>
      <c r="T13" s="156"/>
      <c r="U13" s="160"/>
    </row>
    <row r="14" spans="1:21" x14ac:dyDescent="0.25">
      <c r="A14" s="161"/>
      <c r="B14" s="135"/>
      <c r="C14" s="136"/>
      <c r="D14" s="136"/>
      <c r="E14" s="137"/>
      <c r="F14" s="137"/>
      <c r="G14" s="136"/>
      <c r="H14" s="136"/>
      <c r="I14" s="162"/>
      <c r="J14" s="162"/>
      <c r="K14" s="133"/>
      <c r="L14" s="133"/>
      <c r="M14" s="133"/>
      <c r="N14" s="133"/>
      <c r="O14" s="133"/>
      <c r="P14" s="133"/>
      <c r="Q14" s="133"/>
      <c r="R14" s="133"/>
      <c r="S14" s="133"/>
      <c r="T14" s="136"/>
      <c r="U14" s="138"/>
    </row>
    <row r="15" spans="1:21" ht="15.75" customHeight="1" x14ac:dyDescent="0.25">
      <c r="A15" s="161"/>
      <c r="B15" s="172"/>
      <c r="C15" s="173"/>
      <c r="D15" s="173"/>
      <c r="E15" s="141"/>
      <c r="F15" s="174"/>
      <c r="G15" s="173"/>
      <c r="H15" s="173"/>
      <c r="I15" s="175"/>
      <c r="J15" s="175"/>
      <c r="K15" s="176"/>
      <c r="L15" s="176"/>
      <c r="M15" s="176"/>
      <c r="N15" s="176"/>
      <c r="O15" s="176"/>
      <c r="P15" s="176"/>
      <c r="Q15" s="176"/>
      <c r="R15" s="176"/>
      <c r="S15" s="176"/>
      <c r="T15" s="173"/>
      <c r="U15" s="177"/>
    </row>
    <row r="16" spans="1:21" s="153" customFormat="1" ht="19.5" customHeight="1" x14ac:dyDescent="0.25">
      <c r="A16" s="145" t="s">
        <v>98</v>
      </c>
      <c r="B16" s="146"/>
      <c r="C16" s="147"/>
      <c r="D16" s="147"/>
      <c r="E16" s="178">
        <f>SUM(E13:E15)</f>
        <v>0</v>
      </c>
      <c r="F16" s="171"/>
      <c r="G16" s="147"/>
      <c r="H16" s="147"/>
      <c r="I16" s="150"/>
      <c r="J16" s="150"/>
      <c r="K16" s="151"/>
      <c r="L16" s="151"/>
      <c r="M16" s="151"/>
      <c r="N16" s="151"/>
      <c r="O16" s="151">
        <f>SUM(O14:O15)</f>
        <v>0</v>
      </c>
      <c r="P16" s="151">
        <f>SUM(P14:P15)</f>
        <v>0</v>
      </c>
      <c r="Q16" s="151">
        <f>SUM(Q14:Q15)</f>
        <v>0</v>
      </c>
      <c r="R16" s="151">
        <f>SUM(R14:R15)</f>
        <v>0</v>
      </c>
      <c r="S16" s="151">
        <f>SUM(S14:S15)</f>
        <v>0</v>
      </c>
      <c r="T16" s="147"/>
      <c r="U16" s="152"/>
    </row>
    <row r="17" spans="1:21" s="153" customFormat="1" ht="19.5" customHeight="1" x14ac:dyDescent="0.25">
      <c r="A17" s="179" t="s">
        <v>100</v>
      </c>
      <c r="B17" s="180"/>
      <c r="C17" s="181"/>
      <c r="D17" s="182"/>
      <c r="E17" s="183">
        <f>E8+E12+E16</f>
        <v>1250</v>
      </c>
      <c r="F17" s="184"/>
      <c r="G17" s="181"/>
      <c r="H17" s="181"/>
      <c r="I17" s="185"/>
      <c r="J17" s="185"/>
      <c r="K17" s="186"/>
      <c r="L17" s="186"/>
      <c r="M17" s="186"/>
      <c r="N17" s="186"/>
      <c r="O17" s="186">
        <f>O8+O12+O16</f>
        <v>571200</v>
      </c>
      <c r="P17" s="186">
        <f>P8+P12+P16</f>
        <v>0</v>
      </c>
      <c r="Q17" s="186">
        <f>Q8+Q12+Q16</f>
        <v>28560</v>
      </c>
      <c r="R17" s="186">
        <f>R8+R12+R16</f>
        <v>31250</v>
      </c>
      <c r="S17" s="186">
        <f>S8+S12+S16</f>
        <v>0</v>
      </c>
      <c r="T17" s="181"/>
      <c r="U17" s="187"/>
    </row>
    <row r="18" spans="1:21" x14ac:dyDescent="0.25">
      <c r="E18" s="188"/>
      <c r="K18" s="189"/>
      <c r="L18" s="189"/>
      <c r="M18" s="189"/>
      <c r="N18" s="189"/>
      <c r="O18" s="189"/>
      <c r="P18" s="189"/>
      <c r="Q18" s="189"/>
      <c r="R18" s="189"/>
      <c r="S18" s="189"/>
    </row>
  </sheetData>
  <mergeCells count="2">
    <mergeCell ref="L1:M1"/>
    <mergeCell ref="A4:A7"/>
  </mergeCells>
  <pageMargins left="0.70833333333333304" right="0.70833333333333304" top="0.74861111111111101" bottom="0.74861111111111101" header="0.31527777777777799" footer="0.31527777777777799"/>
  <pageSetup paperSize="9" orientation="landscape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497B0"/>
    <pageSetUpPr fitToPage="1"/>
  </sheetPr>
  <dimension ref="A1:XFD88"/>
  <sheetViews>
    <sheetView showGridLines="0" topLeftCell="AZ10" zoomScale="115" zoomScaleNormal="115" workbookViewId="0">
      <pane ySplit="7" topLeftCell="A43" activePane="bottomLeft" state="frozen"/>
      <selection activeCell="A10" sqref="A10"/>
      <selection pane="bottomLeft" activeCell="BQ12" sqref="BQ12:BT12"/>
    </sheetView>
  </sheetViews>
  <sheetFormatPr baseColWidth="10" defaultColWidth="10.7109375" defaultRowHeight="15" customHeight="1" x14ac:dyDescent="0.25"/>
  <cols>
    <col min="1" max="1" width="22.85546875" customWidth="1"/>
    <col min="2" max="2" width="32.5703125" customWidth="1"/>
    <col min="3" max="3" width="21.28515625" style="190" customWidth="1"/>
    <col min="4" max="4" width="13.85546875" style="191" customWidth="1"/>
    <col min="5" max="5" width="16.42578125" style="191" customWidth="1"/>
    <col min="6" max="6" width="15.85546875" customWidth="1"/>
    <col min="7" max="7" width="17.42578125" customWidth="1"/>
    <col min="8" max="8" width="14.5703125" customWidth="1"/>
    <col min="9" max="11" width="17.140625" customWidth="1"/>
    <col min="12" max="12" width="20" customWidth="1"/>
    <col min="13" max="33" width="17.140625" customWidth="1"/>
    <col min="34" max="40" width="18.5703125" customWidth="1"/>
    <col min="41" max="41" width="16.42578125" style="191" customWidth="1"/>
    <col min="42" max="42" width="15.85546875" customWidth="1"/>
    <col min="43" max="43" width="17.42578125" customWidth="1"/>
    <col min="44" max="47" width="17.140625" customWidth="1"/>
    <col min="48" max="48" width="20" customWidth="1"/>
    <col min="49" max="64" width="17.140625" customWidth="1"/>
    <col min="65" max="72" width="18.5703125" customWidth="1"/>
  </cols>
  <sheetData>
    <row r="1" spans="1:72" ht="18.75" customHeight="1" x14ac:dyDescent="0.25">
      <c r="A1" s="192" t="s">
        <v>101</v>
      </c>
      <c r="B1" s="193"/>
      <c r="C1" s="193"/>
      <c r="D1" s="193"/>
      <c r="E1" s="193"/>
      <c r="F1" s="193"/>
      <c r="G1" s="193"/>
      <c r="H1" s="193"/>
      <c r="AO1" s="193"/>
      <c r="AP1" s="193"/>
      <c r="AQ1" s="193"/>
      <c r="AR1" s="193"/>
    </row>
    <row r="2" spans="1:72" s="82" customFormat="1" ht="32.25" customHeight="1" x14ac:dyDescent="0.25">
      <c r="A2" s="194"/>
      <c r="B2" s="194"/>
      <c r="C2" s="2" t="s">
        <v>102</v>
      </c>
      <c r="D2" s="2" t="s">
        <v>103</v>
      </c>
      <c r="E2" s="2" t="s">
        <v>104</v>
      </c>
      <c r="F2" s="2" t="s">
        <v>105</v>
      </c>
      <c r="G2" s="2" t="s">
        <v>106</v>
      </c>
      <c r="H2" s="2" t="s">
        <v>107</v>
      </c>
      <c r="I2" s="2" t="s">
        <v>108</v>
      </c>
      <c r="J2" s="493" t="s">
        <v>109</v>
      </c>
      <c r="K2" s="493"/>
      <c r="L2" s="493" t="s">
        <v>84</v>
      </c>
      <c r="M2" s="493"/>
      <c r="N2" s="2" t="s">
        <v>110</v>
      </c>
    </row>
    <row r="3" spans="1:72" s="111" customFormat="1" ht="18.75" customHeight="1" x14ac:dyDescent="0.25">
      <c r="A3" s="195" t="s">
        <v>111</v>
      </c>
      <c r="B3" s="196"/>
      <c r="C3" s="196"/>
      <c r="D3" s="196"/>
      <c r="E3" s="196"/>
      <c r="F3" s="196"/>
      <c r="G3" s="196"/>
      <c r="N3" s="111">
        <v>0</v>
      </c>
      <c r="R3" s="197"/>
      <c r="S3" s="197"/>
      <c r="T3" s="197"/>
      <c r="U3" s="197"/>
      <c r="V3" s="197"/>
      <c r="BB3" s="197"/>
      <c r="BC3" s="197"/>
      <c r="BD3" s="197"/>
      <c r="BE3" s="197"/>
      <c r="BF3" s="197"/>
    </row>
    <row r="4" spans="1:72" s="111" customFormat="1" ht="18.75" customHeight="1" x14ac:dyDescent="0.25">
      <c r="A4" s="198" t="s">
        <v>112</v>
      </c>
      <c r="B4" s="199"/>
      <c r="C4" s="200">
        <v>13000</v>
      </c>
      <c r="D4" s="201">
        <v>0</v>
      </c>
      <c r="E4" s="202"/>
      <c r="F4" s="203"/>
      <c r="G4" s="203"/>
      <c r="H4" s="204"/>
      <c r="I4" s="205"/>
      <c r="J4" s="206"/>
      <c r="K4" s="207"/>
      <c r="L4" s="206"/>
      <c r="M4" s="207"/>
      <c r="N4" s="205"/>
      <c r="R4" s="197"/>
      <c r="S4" s="197"/>
      <c r="T4" s="197"/>
      <c r="U4" s="197"/>
      <c r="V4" s="197"/>
      <c r="BB4" s="197"/>
      <c r="BC4" s="197"/>
      <c r="BD4" s="197"/>
      <c r="BE4" s="197"/>
      <c r="BF4" s="197"/>
    </row>
    <row r="5" spans="1:72" s="112" customFormat="1" ht="18.75" customHeight="1" x14ac:dyDescent="0.25">
      <c r="A5" s="208" t="s">
        <v>113</v>
      </c>
      <c r="B5" s="209"/>
      <c r="C5" s="200"/>
      <c r="D5" s="201"/>
      <c r="E5" s="210"/>
      <c r="F5" s="204"/>
      <c r="G5" s="204"/>
      <c r="H5" s="204"/>
      <c r="I5" s="205"/>
      <c r="N5" s="205"/>
      <c r="R5" s="201">
        <v>1</v>
      </c>
      <c r="S5" s="201">
        <v>2</v>
      </c>
      <c r="T5" s="201">
        <v>3</v>
      </c>
      <c r="U5" s="201">
        <v>4</v>
      </c>
      <c r="V5" s="201">
        <v>5</v>
      </c>
      <c r="W5" s="112">
        <v>6</v>
      </c>
      <c r="X5" s="112">
        <v>7</v>
      </c>
      <c r="Y5" s="112">
        <v>8</v>
      </c>
      <c r="Z5" s="112">
        <v>9</v>
      </c>
      <c r="AA5" s="112">
        <v>10</v>
      </c>
      <c r="BB5" s="197"/>
      <c r="BC5" s="197"/>
      <c r="BD5" s="197"/>
      <c r="BE5" s="197"/>
      <c r="BF5" s="197"/>
      <c r="BG5" s="111"/>
      <c r="BH5" s="111"/>
      <c r="BI5" s="111"/>
      <c r="BJ5" s="111"/>
      <c r="BK5" s="111"/>
      <c r="BL5" s="111"/>
    </row>
    <row r="6" spans="1:72" s="112" customFormat="1" ht="14.25" customHeight="1" x14ac:dyDescent="0.25">
      <c r="A6" s="196"/>
      <c r="B6" s="209"/>
      <c r="C6" s="200"/>
      <c r="D6" s="201"/>
      <c r="E6" s="210"/>
      <c r="F6" s="204"/>
      <c r="G6" s="204"/>
      <c r="H6" s="204"/>
      <c r="I6" s="205"/>
      <c r="N6" s="205"/>
      <c r="Q6" s="211">
        <v>46113</v>
      </c>
      <c r="R6" s="212">
        <v>46478</v>
      </c>
      <c r="S6" s="212">
        <v>46844</v>
      </c>
      <c r="T6" s="212">
        <v>47209</v>
      </c>
      <c r="U6" s="212">
        <v>11049</v>
      </c>
      <c r="V6" s="212">
        <v>11414</v>
      </c>
      <c r="W6" s="211">
        <v>11780</v>
      </c>
      <c r="X6" s="211">
        <v>12145</v>
      </c>
      <c r="BB6" s="197"/>
      <c r="BC6" s="197"/>
      <c r="BD6" s="197"/>
      <c r="BE6" s="197"/>
      <c r="BF6" s="197"/>
      <c r="BG6" s="111"/>
      <c r="BH6" s="111"/>
      <c r="BI6" s="111"/>
      <c r="BJ6" s="111"/>
      <c r="BK6" s="111"/>
      <c r="BL6" s="111"/>
    </row>
    <row r="7" spans="1:72" s="112" customFormat="1" ht="18.75" customHeight="1" x14ac:dyDescent="0.25">
      <c r="A7" s="213"/>
      <c r="B7" s="213"/>
      <c r="C7" s="214">
        <f>SUM(C4:C6)</f>
        <v>13000</v>
      </c>
      <c r="D7" s="1">
        <f>SUM(D4:D6)</f>
        <v>0</v>
      </c>
      <c r="E7" s="1"/>
      <c r="F7" s="1"/>
      <c r="G7" s="1"/>
      <c r="H7" s="1"/>
      <c r="I7" s="215">
        <f>SUM(I4:I6)</f>
        <v>0</v>
      </c>
      <c r="J7" s="494"/>
      <c r="K7" s="494"/>
      <c r="L7" s="1"/>
      <c r="M7" s="1"/>
      <c r="N7" s="215">
        <f>SUM(N4:N6)</f>
        <v>0</v>
      </c>
      <c r="P7" s="112">
        <v>38750</v>
      </c>
      <c r="Q7" s="112">
        <v>140</v>
      </c>
      <c r="R7" s="201">
        <f t="shared" ref="R7:X7" si="0">Q7*(1+$D$12)</f>
        <v>142.1</v>
      </c>
      <c r="S7" s="201">
        <f t="shared" si="0"/>
        <v>144.23149999999998</v>
      </c>
      <c r="T7" s="201">
        <f t="shared" si="0"/>
        <v>146.39497249999997</v>
      </c>
      <c r="U7" s="201">
        <f t="shared" si="0"/>
        <v>148.59089708749994</v>
      </c>
      <c r="V7" s="201">
        <f t="shared" si="0"/>
        <v>150.81976054381244</v>
      </c>
      <c r="W7" s="201">
        <f t="shared" si="0"/>
        <v>153.08205695196961</v>
      </c>
      <c r="X7" s="201">
        <f t="shared" si="0"/>
        <v>155.37828780624915</v>
      </c>
      <c r="BB7" s="197"/>
      <c r="BC7" s="197"/>
      <c r="BD7" s="197"/>
      <c r="BE7" s="197"/>
      <c r="BF7" s="197"/>
      <c r="BG7" s="111"/>
      <c r="BH7" s="111"/>
      <c r="BI7" s="111"/>
      <c r="BJ7" s="111"/>
      <c r="BK7" s="111"/>
      <c r="BL7" s="111"/>
    </row>
    <row r="8" spans="1:72" s="4" customFormat="1" ht="18.75" customHeight="1" x14ac:dyDescent="0.25">
      <c r="A8" s="193"/>
      <c r="B8" s="193"/>
      <c r="C8" s="193"/>
      <c r="D8" s="193"/>
      <c r="E8" s="193"/>
      <c r="F8" s="193"/>
      <c r="G8" s="193"/>
      <c r="H8" s="193"/>
      <c r="Q8" s="4">
        <v>140</v>
      </c>
      <c r="R8" s="216">
        <f t="shared" ref="R8:X8" si="1">Q8*1.025</f>
        <v>143.5</v>
      </c>
      <c r="S8" s="216">
        <f t="shared" si="1"/>
        <v>147.08749999999998</v>
      </c>
      <c r="T8" s="216">
        <f t="shared" si="1"/>
        <v>150.76468749999995</v>
      </c>
      <c r="U8" s="216">
        <f t="shared" si="1"/>
        <v>154.53380468749992</v>
      </c>
      <c r="V8" s="216">
        <f t="shared" si="1"/>
        <v>158.39714980468742</v>
      </c>
      <c r="W8" s="216">
        <f t="shared" si="1"/>
        <v>162.35707854980458</v>
      </c>
      <c r="X8" s="216">
        <f t="shared" si="1"/>
        <v>166.41600551354969</v>
      </c>
      <c r="BB8" s="25"/>
      <c r="BC8" s="25"/>
      <c r="BD8" s="25"/>
      <c r="BE8" s="25"/>
      <c r="BF8" s="25"/>
    </row>
    <row r="9" spans="1:72" s="4" customFormat="1" ht="18.75" customHeight="1" x14ac:dyDescent="0.25">
      <c r="A9" s="193"/>
      <c r="B9" s="193"/>
      <c r="C9" s="193"/>
      <c r="D9" s="193"/>
      <c r="E9" s="193"/>
      <c r="F9" s="193"/>
      <c r="G9" s="193"/>
      <c r="H9" s="193"/>
      <c r="R9" s="216"/>
      <c r="S9" s="216"/>
      <c r="T9" s="216"/>
      <c r="U9" s="216" t="e">
        <f>#REF!/#REF!*#REF!</f>
        <v>#REF!</v>
      </c>
      <c r="V9" s="216"/>
      <c r="W9" s="216"/>
      <c r="X9" s="216"/>
      <c r="AO9" s="191"/>
      <c r="AQ9" s="190"/>
      <c r="AR9" s="217"/>
      <c r="AS9" s="217"/>
      <c r="AT9" s="217"/>
      <c r="BB9" s="25"/>
      <c r="BC9" s="25"/>
      <c r="BD9" s="25"/>
      <c r="BE9" s="25"/>
      <c r="BF9" s="25"/>
    </row>
    <row r="10" spans="1:72" x14ac:dyDescent="0.25">
      <c r="C10" s="218"/>
      <c r="F10" s="219"/>
      <c r="G10" s="191"/>
      <c r="H10" s="191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P10" s="219"/>
      <c r="AQ10" s="191"/>
      <c r="AR10" s="191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</row>
    <row r="11" spans="1:72" s="5" customFormat="1" x14ac:dyDescent="0.25">
      <c r="B11" s="221"/>
      <c r="C11" s="222"/>
      <c r="D11" s="223"/>
      <c r="E11" s="485"/>
      <c r="F11" s="485"/>
      <c r="G11" s="485"/>
      <c r="H11" s="485"/>
      <c r="I11" s="485"/>
      <c r="J11" s="485"/>
      <c r="K11" s="485"/>
      <c r="L11" s="486"/>
      <c r="M11" s="491" t="s">
        <v>114</v>
      </c>
      <c r="N11" s="485"/>
      <c r="O11" s="485"/>
      <c r="P11" s="485"/>
      <c r="Q11" s="485"/>
      <c r="R11" s="485"/>
      <c r="S11" s="485"/>
      <c r="T11" s="485"/>
      <c r="U11" s="485"/>
      <c r="V11" s="485"/>
      <c r="W11" s="485"/>
      <c r="X11" s="486"/>
      <c r="Y11" s="482" t="s">
        <v>343</v>
      </c>
      <c r="Z11" s="483"/>
      <c r="AA11" s="483"/>
      <c r="AB11" s="483"/>
      <c r="AC11" s="483"/>
      <c r="AD11" s="483"/>
      <c r="AE11" s="483"/>
      <c r="AF11" s="483"/>
      <c r="AG11" s="483"/>
      <c r="AH11" s="483"/>
      <c r="AI11" s="483"/>
      <c r="AJ11" s="484"/>
      <c r="AK11" s="491" t="s">
        <v>344</v>
      </c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6"/>
      <c r="AW11" s="491" t="s">
        <v>345</v>
      </c>
      <c r="AX11" s="485"/>
      <c r="AY11" s="485"/>
      <c r="AZ11" s="485"/>
      <c r="BA11" s="485"/>
      <c r="BB11" s="485"/>
      <c r="BC11" s="485"/>
      <c r="BD11" s="485"/>
      <c r="BE11" s="485"/>
      <c r="BF11" s="485"/>
      <c r="BG11" s="485"/>
      <c r="BH11" s="486"/>
      <c r="BI11" s="482" t="s">
        <v>115</v>
      </c>
      <c r="BJ11" s="483"/>
      <c r="BK11" s="483"/>
      <c r="BL11" s="483"/>
      <c r="BM11" s="483"/>
      <c r="BN11" s="483"/>
      <c r="BO11" s="483"/>
      <c r="BP11" s="483"/>
      <c r="BQ11" s="483"/>
      <c r="BR11" s="483"/>
      <c r="BS11" s="483"/>
      <c r="BT11" s="484"/>
    </row>
    <row r="12" spans="1:72" s="5" customFormat="1" x14ac:dyDescent="0.25">
      <c r="B12" s="221"/>
      <c r="C12" s="224" t="s">
        <v>116</v>
      </c>
      <c r="D12" s="225">
        <v>1.4999999999999999E-2</v>
      </c>
      <c r="E12" s="488">
        <v>-2</v>
      </c>
      <c r="F12" s="489"/>
      <c r="G12" s="489"/>
      <c r="H12" s="490"/>
      <c r="I12" s="492">
        <v>-1</v>
      </c>
      <c r="J12" s="492"/>
      <c r="K12" s="492"/>
      <c r="L12" s="492"/>
      <c r="M12" s="492">
        <v>1</v>
      </c>
      <c r="N12" s="492"/>
      <c r="O12" s="492"/>
      <c r="P12" s="492"/>
      <c r="Q12" s="492">
        <f>M12+1</f>
        <v>2</v>
      </c>
      <c r="R12" s="492"/>
      <c r="S12" s="492"/>
      <c r="T12" s="492"/>
      <c r="U12" s="492">
        <f>Q12+1</f>
        <v>3</v>
      </c>
      <c r="V12" s="492"/>
      <c r="W12" s="492"/>
      <c r="X12" s="492"/>
      <c r="Y12" s="492">
        <f>U12+1</f>
        <v>4</v>
      </c>
      <c r="Z12" s="492"/>
      <c r="AA12" s="492"/>
      <c r="AB12" s="492"/>
      <c r="AC12" s="492">
        <f>Y12+1</f>
        <v>5</v>
      </c>
      <c r="AD12" s="492"/>
      <c r="AE12" s="492"/>
      <c r="AF12" s="492"/>
      <c r="AG12" s="492">
        <f>AC12+1</f>
        <v>6</v>
      </c>
      <c r="AH12" s="492"/>
      <c r="AI12" s="492"/>
      <c r="AJ12" s="492"/>
      <c r="AK12" s="492">
        <f>AG12+1</f>
        <v>7</v>
      </c>
      <c r="AL12" s="492"/>
      <c r="AM12" s="492"/>
      <c r="AN12" s="492"/>
      <c r="AO12" s="492">
        <f>AK12+1</f>
        <v>8</v>
      </c>
      <c r="AP12" s="492"/>
      <c r="AQ12" s="492"/>
      <c r="AR12" s="492"/>
      <c r="AS12" s="492">
        <f>AO12+1</f>
        <v>9</v>
      </c>
      <c r="AT12" s="492"/>
      <c r="AU12" s="492"/>
      <c r="AV12" s="492"/>
      <c r="AW12" s="492">
        <f>AS12+1</f>
        <v>10</v>
      </c>
      <c r="AX12" s="492"/>
      <c r="AY12" s="492"/>
      <c r="AZ12" s="492"/>
      <c r="BA12" s="492">
        <f>AW12+1</f>
        <v>11</v>
      </c>
      <c r="BB12" s="492"/>
      <c r="BC12" s="492"/>
      <c r="BD12" s="492"/>
      <c r="BE12" s="492">
        <f>BA12+1</f>
        <v>12</v>
      </c>
      <c r="BF12" s="492"/>
      <c r="BG12" s="492"/>
      <c r="BH12" s="492"/>
      <c r="BI12" s="492">
        <f>BE12+1</f>
        <v>13</v>
      </c>
      <c r="BJ12" s="492"/>
      <c r="BK12" s="492"/>
      <c r="BL12" s="492"/>
      <c r="BM12" s="492">
        <f t="shared" ref="BM12:BM13" si="2">BI12+1</f>
        <v>14</v>
      </c>
      <c r="BN12" s="492"/>
      <c r="BO12" s="492"/>
      <c r="BP12" s="492"/>
      <c r="BQ12" s="492">
        <f t="shared" ref="BQ12:BQ13" si="3">BM12+1</f>
        <v>15</v>
      </c>
      <c r="BR12" s="492"/>
      <c r="BS12" s="492"/>
      <c r="BT12" s="492"/>
    </row>
    <row r="13" spans="1:72" s="5" customFormat="1" x14ac:dyDescent="0.25">
      <c r="B13" s="221"/>
      <c r="C13" s="224"/>
      <c r="D13" s="225"/>
      <c r="E13" s="495">
        <v>2026</v>
      </c>
      <c r="F13" s="495"/>
      <c r="G13" s="495"/>
      <c r="H13" s="495"/>
      <c r="I13" s="495">
        <f>E13+1</f>
        <v>2027</v>
      </c>
      <c r="J13" s="495"/>
      <c r="K13" s="495"/>
      <c r="L13" s="495"/>
      <c r="M13" s="495">
        <f>I13+1</f>
        <v>2028</v>
      </c>
      <c r="N13" s="495"/>
      <c r="O13" s="495"/>
      <c r="P13" s="495"/>
      <c r="Q13" s="495">
        <f>M13+1</f>
        <v>2029</v>
      </c>
      <c r="R13" s="495"/>
      <c r="S13" s="495"/>
      <c r="T13" s="495"/>
      <c r="U13" s="495">
        <f>Q13+1</f>
        <v>2030</v>
      </c>
      <c r="V13" s="495"/>
      <c r="W13" s="495"/>
      <c r="X13" s="495"/>
      <c r="Y13" s="495">
        <f>U13+1</f>
        <v>2031</v>
      </c>
      <c r="Z13" s="495"/>
      <c r="AA13" s="495"/>
      <c r="AB13" s="495"/>
      <c r="AC13" s="495">
        <f>Y13+1</f>
        <v>2032</v>
      </c>
      <c r="AD13" s="495"/>
      <c r="AE13" s="495"/>
      <c r="AF13" s="495"/>
      <c r="AG13" s="495">
        <f>AC13+1</f>
        <v>2033</v>
      </c>
      <c r="AH13" s="495"/>
      <c r="AI13" s="495"/>
      <c r="AJ13" s="495"/>
      <c r="AK13" s="495">
        <f>AG13+1</f>
        <v>2034</v>
      </c>
      <c r="AL13" s="495"/>
      <c r="AM13" s="495"/>
      <c r="AN13" s="495"/>
      <c r="AO13" s="495">
        <f>AK13+1</f>
        <v>2035</v>
      </c>
      <c r="AP13" s="495"/>
      <c r="AQ13" s="495"/>
      <c r="AR13" s="495"/>
      <c r="AS13" s="495">
        <f>AO13+1</f>
        <v>2036</v>
      </c>
      <c r="AT13" s="495"/>
      <c r="AU13" s="495"/>
      <c r="AV13" s="495"/>
      <c r="AW13" s="495">
        <f>AS13+1</f>
        <v>2037</v>
      </c>
      <c r="AX13" s="495"/>
      <c r="AY13" s="495"/>
      <c r="AZ13" s="495"/>
      <c r="BA13" s="495">
        <f>AW13+1</f>
        <v>2038</v>
      </c>
      <c r="BB13" s="495"/>
      <c r="BC13" s="495"/>
      <c r="BD13" s="495"/>
      <c r="BE13" s="495">
        <f>BA13+1</f>
        <v>2039</v>
      </c>
      <c r="BF13" s="495"/>
      <c r="BG13" s="495"/>
      <c r="BH13" s="495"/>
      <c r="BI13" s="495">
        <f>BE13+1</f>
        <v>2040</v>
      </c>
      <c r="BJ13" s="495"/>
      <c r="BK13" s="495"/>
      <c r="BL13" s="495"/>
      <c r="BM13" s="495">
        <f t="shared" si="2"/>
        <v>2041</v>
      </c>
      <c r="BN13" s="495"/>
      <c r="BO13" s="495"/>
      <c r="BP13" s="495"/>
      <c r="BQ13" s="495">
        <f t="shared" si="3"/>
        <v>2042</v>
      </c>
      <c r="BR13" s="495"/>
      <c r="BS13" s="495"/>
      <c r="BT13" s="495"/>
    </row>
    <row r="14" spans="1:72" s="4" customFormat="1" ht="15.75" customHeight="1" thickBot="1" x14ac:dyDescent="0.3">
      <c r="A14" s="5"/>
      <c r="B14" s="221"/>
      <c r="C14" s="226" t="s">
        <v>117</v>
      </c>
      <c r="D14" s="227">
        <v>0.04</v>
      </c>
      <c r="E14" s="228" t="s">
        <v>118</v>
      </c>
      <c r="F14" s="229" t="s">
        <v>119</v>
      </c>
      <c r="G14" s="229" t="s">
        <v>120</v>
      </c>
      <c r="H14" s="230" t="s">
        <v>121</v>
      </c>
      <c r="I14" s="231" t="s">
        <v>122</v>
      </c>
      <c r="J14" s="229" t="s">
        <v>123</v>
      </c>
      <c r="K14" s="229" t="s">
        <v>124</v>
      </c>
      <c r="L14" s="230" t="s">
        <v>125</v>
      </c>
      <c r="M14" s="231" t="s">
        <v>126</v>
      </c>
      <c r="N14" s="229" t="s">
        <v>127</v>
      </c>
      <c r="O14" s="229" t="s">
        <v>128</v>
      </c>
      <c r="P14" s="230" t="s">
        <v>129</v>
      </c>
      <c r="Q14" s="231" t="s">
        <v>130</v>
      </c>
      <c r="R14" s="229" t="s">
        <v>131</v>
      </c>
      <c r="S14" s="229" t="s">
        <v>132</v>
      </c>
      <c r="T14" s="230" t="s">
        <v>133</v>
      </c>
      <c r="U14" s="231" t="s">
        <v>134</v>
      </c>
      <c r="V14" s="229" t="s">
        <v>135</v>
      </c>
      <c r="W14" s="229" t="s">
        <v>136</v>
      </c>
      <c r="X14" s="230" t="s">
        <v>137</v>
      </c>
      <c r="Y14" s="231" t="s">
        <v>138</v>
      </c>
      <c r="Z14" s="229" t="s">
        <v>139</v>
      </c>
      <c r="AA14" s="229" t="s">
        <v>140</v>
      </c>
      <c r="AB14" s="230" t="s">
        <v>141</v>
      </c>
      <c r="AC14" s="231" t="s">
        <v>142</v>
      </c>
      <c r="AD14" s="229" t="s">
        <v>143</v>
      </c>
      <c r="AE14" s="229" t="s">
        <v>144</v>
      </c>
      <c r="AF14" s="230" t="s">
        <v>145</v>
      </c>
      <c r="AG14" s="231" t="s">
        <v>146</v>
      </c>
      <c r="AH14" s="229" t="s">
        <v>147</v>
      </c>
      <c r="AI14" s="229" t="s">
        <v>148</v>
      </c>
      <c r="AJ14" s="230" t="s">
        <v>149</v>
      </c>
      <c r="AK14" s="231" t="s">
        <v>150</v>
      </c>
      <c r="AL14" s="229" t="s">
        <v>151</v>
      </c>
      <c r="AM14" s="229" t="s">
        <v>152</v>
      </c>
      <c r="AN14" s="230" t="s">
        <v>153</v>
      </c>
      <c r="AO14" s="228" t="s">
        <v>154</v>
      </c>
      <c r="AP14" s="229" t="s">
        <v>155</v>
      </c>
      <c r="AQ14" s="229" t="s">
        <v>156</v>
      </c>
      <c r="AR14" s="230" t="s">
        <v>157</v>
      </c>
      <c r="AS14" s="231" t="s">
        <v>158</v>
      </c>
      <c r="AT14" s="229" t="s">
        <v>159</v>
      </c>
      <c r="AU14" s="229" t="s">
        <v>160</v>
      </c>
      <c r="AV14" s="230" t="s">
        <v>161</v>
      </c>
      <c r="AW14" s="231" t="s">
        <v>162</v>
      </c>
      <c r="AX14" s="229" t="s">
        <v>163</v>
      </c>
      <c r="AY14" s="229" t="s">
        <v>164</v>
      </c>
      <c r="AZ14" s="230" t="s">
        <v>165</v>
      </c>
      <c r="BA14" s="231" t="s">
        <v>166</v>
      </c>
      <c r="BB14" s="229" t="s">
        <v>167</v>
      </c>
      <c r="BC14" s="229" t="s">
        <v>168</v>
      </c>
      <c r="BD14" s="230" t="s">
        <v>169</v>
      </c>
      <c r="BE14" s="231" t="s">
        <v>170</v>
      </c>
      <c r="BF14" s="229" t="s">
        <v>171</v>
      </c>
      <c r="BG14" s="229" t="s">
        <v>172</v>
      </c>
      <c r="BH14" s="230" t="s">
        <v>173</v>
      </c>
      <c r="BI14" s="231" t="s">
        <v>174</v>
      </c>
      <c r="BJ14" s="229" t="s">
        <v>175</v>
      </c>
      <c r="BK14" s="229" t="s">
        <v>176</v>
      </c>
      <c r="BL14" s="230" t="s">
        <v>177</v>
      </c>
      <c r="BM14" s="231" t="s">
        <v>174</v>
      </c>
      <c r="BN14" s="229" t="s">
        <v>175</v>
      </c>
      <c r="BO14" s="229" t="s">
        <v>176</v>
      </c>
      <c r="BP14" s="230" t="s">
        <v>177</v>
      </c>
      <c r="BQ14" s="231" t="s">
        <v>174</v>
      </c>
      <c r="BR14" s="229" t="s">
        <v>175</v>
      </c>
      <c r="BS14" s="229" t="s">
        <v>176</v>
      </c>
      <c r="BT14" s="230" t="s">
        <v>177</v>
      </c>
    </row>
    <row r="15" spans="1:72" s="240" customFormat="1" ht="20.25" customHeight="1" thickTop="1" x14ac:dyDescent="0.25">
      <c r="A15" s="5"/>
      <c r="B15" s="221"/>
      <c r="C15" s="232" t="s">
        <v>178</v>
      </c>
      <c r="D15" s="233">
        <f>SUM(E15:AN15)</f>
        <v>0</v>
      </c>
      <c r="E15" s="234"/>
      <c r="F15" s="235"/>
      <c r="G15" s="235"/>
      <c r="H15" s="236"/>
      <c r="I15" s="237"/>
      <c r="J15" s="238"/>
      <c r="K15" s="238"/>
      <c r="L15" s="239"/>
      <c r="M15" s="237"/>
      <c r="N15" s="238"/>
      <c r="O15" s="238"/>
      <c r="P15" s="239"/>
      <c r="Q15" s="237"/>
      <c r="R15" s="238"/>
      <c r="S15" s="238"/>
      <c r="T15" s="239"/>
      <c r="U15" s="237"/>
      <c r="V15" s="238"/>
      <c r="W15" s="238"/>
      <c r="X15" s="239"/>
      <c r="Y15" s="237"/>
      <c r="Z15" s="238"/>
      <c r="AA15" s="238"/>
      <c r="AB15" s="239"/>
      <c r="AC15" s="237"/>
      <c r="AD15" s="238"/>
      <c r="AE15" s="238"/>
      <c r="AF15" s="239"/>
      <c r="AG15" s="237"/>
      <c r="AH15" s="238"/>
      <c r="AI15" s="238"/>
      <c r="AJ15" s="239"/>
      <c r="AK15" s="237"/>
      <c r="AL15" s="238"/>
      <c r="AM15" s="238"/>
      <c r="AN15" s="239"/>
      <c r="AO15" s="237"/>
      <c r="AP15" s="235"/>
      <c r="AQ15" s="235"/>
      <c r="AR15" s="236"/>
      <c r="AS15" s="237"/>
      <c r="AT15" s="238"/>
      <c r="AU15" s="238"/>
      <c r="AV15" s="239"/>
      <c r="AW15" s="237"/>
      <c r="AX15" s="238"/>
      <c r="AY15" s="238"/>
      <c r="AZ15" s="239"/>
      <c r="BA15" s="237"/>
      <c r="BB15" s="238"/>
      <c r="BC15" s="238"/>
      <c r="BD15" s="239"/>
      <c r="BE15" s="237"/>
      <c r="BF15" s="238"/>
      <c r="BG15" s="238"/>
      <c r="BH15" s="239"/>
      <c r="BI15" s="237"/>
      <c r="BJ15" s="238"/>
      <c r="BK15" s="238"/>
      <c r="BL15" s="239"/>
      <c r="BM15" s="237"/>
      <c r="BN15" s="238"/>
      <c r="BO15" s="238"/>
      <c r="BP15" s="239"/>
      <c r="BQ15" s="237"/>
      <c r="BR15" s="238"/>
      <c r="BS15" s="238"/>
      <c r="BT15" s="239"/>
    </row>
    <row r="16" spans="1:72" s="240" customFormat="1" ht="20.25" customHeight="1" thickBot="1" x14ac:dyDescent="0.3">
      <c r="A16" s="5"/>
      <c r="B16" s="241"/>
      <c r="C16" s="242" t="s">
        <v>178</v>
      </c>
      <c r="D16" s="243"/>
      <c r="E16" s="244"/>
      <c r="F16" s="245"/>
      <c r="G16" s="245"/>
      <c r="H16" s="246"/>
      <c r="I16" s="247"/>
      <c r="J16" s="245"/>
      <c r="K16" s="245"/>
      <c r="L16" s="246"/>
      <c r="M16" s="247"/>
      <c r="N16" s="245"/>
      <c r="O16" s="245"/>
      <c r="P16" s="246"/>
      <c r="Q16" s="247"/>
      <c r="R16" s="245"/>
      <c r="S16" s="245"/>
      <c r="T16" s="246"/>
      <c r="U16" s="247"/>
      <c r="V16" s="245"/>
      <c r="W16" s="245"/>
      <c r="X16" s="246"/>
      <c r="Y16" s="247"/>
      <c r="Z16" s="245"/>
      <c r="AA16" s="245"/>
      <c r="AB16" s="246"/>
      <c r="AC16" s="247"/>
      <c r="AD16" s="245"/>
      <c r="AE16" s="245"/>
      <c r="AF16" s="246"/>
      <c r="AG16" s="247"/>
      <c r="AH16" s="245"/>
      <c r="AI16" s="245"/>
      <c r="AJ16" s="246"/>
      <c r="AK16" s="247"/>
      <c r="AL16" s="245"/>
      <c r="AM16" s="245"/>
      <c r="AN16" s="246"/>
      <c r="AO16" s="247"/>
      <c r="AP16" s="245"/>
      <c r="AQ16" s="245"/>
      <c r="AR16" s="246"/>
      <c r="AS16" s="247"/>
      <c r="AT16" s="245"/>
      <c r="AU16" s="245"/>
      <c r="AV16" s="246"/>
      <c r="AW16" s="247"/>
      <c r="AX16" s="245"/>
      <c r="AY16" s="245"/>
      <c r="AZ16" s="246"/>
      <c r="BA16" s="247"/>
      <c r="BB16" s="245"/>
      <c r="BC16" s="245"/>
      <c r="BD16" s="246"/>
      <c r="BE16" s="247"/>
      <c r="BF16" s="245"/>
      <c r="BG16" s="245"/>
      <c r="BH16" s="246"/>
      <c r="BI16" s="247"/>
      <c r="BJ16" s="245"/>
      <c r="BK16" s="245"/>
      <c r="BL16" s="246"/>
      <c r="BM16" s="247"/>
      <c r="BN16" s="245"/>
      <c r="BO16" s="245"/>
      <c r="BP16" s="246"/>
      <c r="BQ16" s="247"/>
      <c r="BR16" s="245"/>
      <c r="BS16" s="245"/>
      <c r="BT16" s="246"/>
    </row>
    <row r="17" spans="1:73" s="111" customFormat="1" ht="19.5" customHeight="1" thickTop="1" thickBot="1" x14ac:dyDescent="0.3">
      <c r="A17" s="248"/>
      <c r="B17" s="249" t="s">
        <v>339</v>
      </c>
      <c r="C17" s="250"/>
      <c r="D17" s="251">
        <f>SUM(D18,D22)</f>
        <v>571200</v>
      </c>
      <c r="E17" s="252">
        <f t="shared" ref="E17:AJ17" si="4">SUM(E18:E26)</f>
        <v>0</v>
      </c>
      <c r="F17" s="253">
        <f t="shared" si="4"/>
        <v>0</v>
      </c>
      <c r="G17" s="253">
        <f t="shared" si="4"/>
        <v>0</v>
      </c>
      <c r="H17" s="254">
        <f t="shared" si="4"/>
        <v>0</v>
      </c>
      <c r="I17" s="255">
        <f t="shared" si="4"/>
        <v>0</v>
      </c>
      <c r="J17" s="253">
        <f t="shared" si="4"/>
        <v>0</v>
      </c>
      <c r="K17" s="253">
        <f t="shared" si="4"/>
        <v>0</v>
      </c>
      <c r="L17" s="254">
        <f t="shared" si="4"/>
        <v>0</v>
      </c>
      <c r="M17" s="255">
        <f>D17/4</f>
        <v>142800</v>
      </c>
      <c r="N17" s="253">
        <f t="shared" si="4"/>
        <v>149940</v>
      </c>
      <c r="O17" s="253">
        <f t="shared" si="4"/>
        <v>149940</v>
      </c>
      <c r="P17" s="254">
        <f t="shared" si="4"/>
        <v>181190</v>
      </c>
      <c r="Q17" s="255">
        <f t="shared" si="4"/>
        <v>152189.1</v>
      </c>
      <c r="R17" s="253">
        <f t="shared" si="4"/>
        <v>152189.1</v>
      </c>
      <c r="S17" s="253">
        <f t="shared" si="4"/>
        <v>152189.1</v>
      </c>
      <c r="T17" s="254">
        <f t="shared" si="4"/>
        <v>184689.1</v>
      </c>
      <c r="U17" s="255">
        <f t="shared" si="4"/>
        <v>154471.93649999995</v>
      </c>
      <c r="V17" s="253">
        <f t="shared" si="4"/>
        <v>154471.93649999995</v>
      </c>
      <c r="W17" s="253">
        <f t="shared" si="4"/>
        <v>154471.93649999995</v>
      </c>
      <c r="X17" s="254">
        <f t="shared" si="4"/>
        <v>188271.93649999995</v>
      </c>
      <c r="Y17" s="255">
        <f t="shared" si="4"/>
        <v>156789.01554749993</v>
      </c>
      <c r="Z17" s="253">
        <f t="shared" si="4"/>
        <v>156789.01554749993</v>
      </c>
      <c r="AA17" s="253">
        <f t="shared" si="4"/>
        <v>156789.01554749993</v>
      </c>
      <c r="AB17" s="254">
        <f t="shared" si="4"/>
        <v>191941.01554749993</v>
      </c>
      <c r="AC17" s="255">
        <f t="shared" si="4"/>
        <v>159140.85078071241</v>
      </c>
      <c r="AD17" s="253">
        <f t="shared" si="4"/>
        <v>159140.85078071241</v>
      </c>
      <c r="AE17" s="253">
        <f t="shared" si="4"/>
        <v>159140.85078071241</v>
      </c>
      <c r="AF17" s="254">
        <f t="shared" si="4"/>
        <v>195698.9307807124</v>
      </c>
      <c r="AG17" s="255">
        <f>SUM(AG18:AG26)</f>
        <v>161527.96354242309</v>
      </c>
      <c r="AH17" s="253">
        <f t="shared" si="4"/>
        <v>161527.96354242309</v>
      </c>
      <c r="AI17" s="253">
        <f t="shared" si="4"/>
        <v>161527.96354242309</v>
      </c>
      <c r="AJ17" s="254">
        <f t="shared" si="4"/>
        <v>199548.3667424231</v>
      </c>
      <c r="AK17" s="255">
        <f t="shared" ref="AK17:BT17" si="5">SUM(AK18:AK26)</f>
        <v>163950.88299555937</v>
      </c>
      <c r="AL17" s="253">
        <f t="shared" si="5"/>
        <v>163950.88299555937</v>
      </c>
      <c r="AM17" s="253">
        <f t="shared" si="5"/>
        <v>163950.88299555937</v>
      </c>
      <c r="AN17" s="254">
        <f t="shared" si="5"/>
        <v>203492.10232355937</v>
      </c>
      <c r="AO17" s="252">
        <f t="shared" si="5"/>
        <v>166410.14624049276</v>
      </c>
      <c r="AP17" s="253">
        <f t="shared" si="5"/>
        <v>166410.14624049276</v>
      </c>
      <c r="AQ17" s="253">
        <f t="shared" si="5"/>
        <v>166410.14624049276</v>
      </c>
      <c r="AR17" s="254">
        <f t="shared" si="5"/>
        <v>207533.01434161275</v>
      </c>
      <c r="AS17" s="255">
        <f t="shared" si="5"/>
        <v>168906.29843410014</v>
      </c>
      <c r="AT17" s="253">
        <f t="shared" si="5"/>
        <v>168906.29843410014</v>
      </c>
      <c r="AU17" s="253">
        <f t="shared" si="5"/>
        <v>168906.29843410014</v>
      </c>
      <c r="AV17" s="254">
        <f t="shared" si="5"/>
        <v>211674.08125926493</v>
      </c>
      <c r="AW17" s="255">
        <f t="shared" si="5"/>
        <v>171439.89291061161</v>
      </c>
      <c r="AX17" s="253">
        <f t="shared" si="5"/>
        <v>171439.89291061161</v>
      </c>
      <c r="AY17" s="253">
        <f t="shared" si="5"/>
        <v>171439.89291061161</v>
      </c>
      <c r="AZ17" s="254">
        <f t="shared" si="5"/>
        <v>215918.38704878301</v>
      </c>
      <c r="BA17" s="255">
        <f t="shared" si="5"/>
        <v>174011.49130427075</v>
      </c>
      <c r="BB17" s="253">
        <f t="shared" si="5"/>
        <v>174011.49130427075</v>
      </c>
      <c r="BC17" s="253">
        <f t="shared" si="5"/>
        <v>174011.49130427075</v>
      </c>
      <c r="BD17" s="254">
        <f t="shared" si="5"/>
        <v>220269.12520796902</v>
      </c>
      <c r="BE17" s="255">
        <f t="shared" si="5"/>
        <v>176621.66367383482</v>
      </c>
      <c r="BF17" s="253">
        <f t="shared" si="5"/>
        <v>176621.66367383482</v>
      </c>
      <c r="BG17" s="253">
        <f t="shared" si="5"/>
        <v>176621.66367383482</v>
      </c>
      <c r="BH17" s="254">
        <f t="shared" si="5"/>
        <v>224729.60293368099</v>
      </c>
      <c r="BI17" s="255">
        <f t="shared" si="5"/>
        <v>179270.98862894229</v>
      </c>
      <c r="BJ17" s="253">
        <f t="shared" si="5"/>
        <v>179270.98862894229</v>
      </c>
      <c r="BK17" s="253">
        <f t="shared" si="5"/>
        <v>179270.98862894229</v>
      </c>
      <c r="BL17" s="254">
        <f t="shared" si="5"/>
        <v>229303.2454591823</v>
      </c>
      <c r="BM17" s="254">
        <f t="shared" si="5"/>
        <v>179270.98862894229</v>
      </c>
      <c r="BN17" s="254">
        <f t="shared" si="5"/>
        <v>179270.98862894229</v>
      </c>
      <c r="BO17" s="254">
        <f t="shared" si="5"/>
        <v>179270.98862894229</v>
      </c>
      <c r="BP17" s="254">
        <f t="shared" si="5"/>
        <v>231304.53573239193</v>
      </c>
      <c r="BQ17" s="254">
        <f t="shared" si="5"/>
        <v>179270.98862894229</v>
      </c>
      <c r="BR17" s="254">
        <f t="shared" si="5"/>
        <v>179270.98862894229</v>
      </c>
      <c r="BS17" s="254">
        <f t="shared" si="5"/>
        <v>179270.98862894229</v>
      </c>
      <c r="BT17" s="254">
        <f t="shared" si="5"/>
        <v>233385.87761652991</v>
      </c>
    </row>
    <row r="18" spans="1:73" s="111" customFormat="1" ht="15" customHeight="1" thickBot="1" x14ac:dyDescent="0.3">
      <c r="A18" s="496" t="s">
        <v>342</v>
      </c>
      <c r="B18" s="256" t="s">
        <v>308</v>
      </c>
      <c r="C18" s="257" t="s">
        <v>179</v>
      </c>
      <c r="D18" s="258">
        <f>'Etat locatif prévi'!O4</f>
        <v>571200</v>
      </c>
      <c r="E18" s="259"/>
      <c r="F18" s="260"/>
      <c r="G18" s="260"/>
      <c r="H18" s="261"/>
      <c r="I18" s="259"/>
      <c r="J18" s="260"/>
      <c r="K18" s="260"/>
      <c r="L18" s="261"/>
      <c r="M18" s="259">
        <f>D18/4</f>
        <v>142800</v>
      </c>
      <c r="N18" s="260">
        <v>142800</v>
      </c>
      <c r="O18" s="260">
        <v>142800</v>
      </c>
      <c r="P18" s="261">
        <v>142800</v>
      </c>
      <c r="Q18" s="259">
        <f>($D$18*(1+$D$12)^(Q12-1))/4</f>
        <v>144942</v>
      </c>
      <c r="R18" s="260">
        <f>Q18</f>
        <v>144942</v>
      </c>
      <c r="S18" s="260">
        <f>Q18</f>
        <v>144942</v>
      </c>
      <c r="T18" s="261">
        <f>Q18</f>
        <v>144942</v>
      </c>
      <c r="U18" s="259">
        <f>($D$18*(1+$D$12)^(U12-1))/4</f>
        <v>147116.12999999995</v>
      </c>
      <c r="V18" s="260">
        <f>U18</f>
        <v>147116.12999999995</v>
      </c>
      <c r="W18" s="260">
        <f>U18</f>
        <v>147116.12999999995</v>
      </c>
      <c r="X18" s="261">
        <f>U18</f>
        <v>147116.12999999995</v>
      </c>
      <c r="Y18" s="259">
        <f>($D$18*(1+$D$12)^(Y12-1))/4</f>
        <v>149322.87194999994</v>
      </c>
      <c r="Z18" s="260">
        <f>Y18</f>
        <v>149322.87194999994</v>
      </c>
      <c r="AA18" s="260">
        <f>Y18</f>
        <v>149322.87194999994</v>
      </c>
      <c r="AB18" s="261">
        <f>Y18</f>
        <v>149322.87194999994</v>
      </c>
      <c r="AC18" s="259">
        <f>($D$18*(1+$D$12)^(AC12-1))/4</f>
        <v>151562.71502924993</v>
      </c>
      <c r="AD18" s="260">
        <f>AC18</f>
        <v>151562.71502924993</v>
      </c>
      <c r="AE18" s="260">
        <f>AC18</f>
        <v>151562.71502924993</v>
      </c>
      <c r="AF18" s="261">
        <f>AC18</f>
        <v>151562.71502924993</v>
      </c>
      <c r="AG18" s="259">
        <f>($D$18*(1+$D$12)^(AG12-1))/4</f>
        <v>153836.15575468866</v>
      </c>
      <c r="AH18" s="260">
        <f>AG18</f>
        <v>153836.15575468866</v>
      </c>
      <c r="AI18" s="260">
        <f>AG18</f>
        <v>153836.15575468866</v>
      </c>
      <c r="AJ18" s="261">
        <f>AG18</f>
        <v>153836.15575468866</v>
      </c>
      <c r="AK18" s="259">
        <f>($D$18*(1+$D$12)^(AK12-1))/4</f>
        <v>156143.69809100893</v>
      </c>
      <c r="AL18" s="260">
        <f>AK18</f>
        <v>156143.69809100893</v>
      </c>
      <c r="AM18" s="260">
        <f>AK18</f>
        <v>156143.69809100893</v>
      </c>
      <c r="AN18" s="261">
        <f>AK18</f>
        <v>156143.69809100893</v>
      </c>
      <c r="AO18" s="259">
        <f>($D$18*(1+$D$12)^(AO12-1))/4</f>
        <v>158485.85356237405</v>
      </c>
      <c r="AP18" s="260">
        <f>AO18</f>
        <v>158485.85356237405</v>
      </c>
      <c r="AQ18" s="260">
        <f>AO18</f>
        <v>158485.85356237405</v>
      </c>
      <c r="AR18" s="261">
        <f>AO18</f>
        <v>158485.85356237405</v>
      </c>
      <c r="AS18" s="259">
        <f>($D$18*(1+$D$12)^(AS12-1))/4</f>
        <v>160863.14136580966</v>
      </c>
      <c r="AT18" s="260">
        <f>AS18</f>
        <v>160863.14136580966</v>
      </c>
      <c r="AU18" s="260">
        <f>AS18</f>
        <v>160863.14136580966</v>
      </c>
      <c r="AV18" s="261">
        <f>AS18</f>
        <v>160863.14136580966</v>
      </c>
      <c r="AW18" s="259">
        <f>($D$18*(1+$D$12)^(AW12-1))/4</f>
        <v>163276.08848629677</v>
      </c>
      <c r="AX18" s="260">
        <f>AW18</f>
        <v>163276.08848629677</v>
      </c>
      <c r="AY18" s="260">
        <f>AW18</f>
        <v>163276.08848629677</v>
      </c>
      <c r="AZ18" s="261">
        <f>AW18</f>
        <v>163276.08848629677</v>
      </c>
      <c r="BA18" s="259">
        <f>($D$18*(1+$D$12)^(BA12-1))/4</f>
        <v>165725.2298135912</v>
      </c>
      <c r="BB18" s="260">
        <f>BA18</f>
        <v>165725.2298135912</v>
      </c>
      <c r="BC18" s="260">
        <f>BA18</f>
        <v>165725.2298135912</v>
      </c>
      <c r="BD18" s="261">
        <f>BA18</f>
        <v>165725.2298135912</v>
      </c>
      <c r="BE18" s="259">
        <f>($D$18*(1+$D$12)^(BE12-1))/4</f>
        <v>168211.10826079507</v>
      </c>
      <c r="BF18" s="260">
        <f>BE18</f>
        <v>168211.10826079507</v>
      </c>
      <c r="BG18" s="260">
        <f>BE18</f>
        <v>168211.10826079507</v>
      </c>
      <c r="BH18" s="261">
        <f>BE18</f>
        <v>168211.10826079507</v>
      </c>
      <c r="BI18" s="259">
        <f>($D$18*(1+$D$12)^(BI12-1))/4</f>
        <v>170734.27488470695</v>
      </c>
      <c r="BJ18" s="260">
        <f>BI18</f>
        <v>170734.27488470695</v>
      </c>
      <c r="BK18" s="260">
        <f>BI18</f>
        <v>170734.27488470695</v>
      </c>
      <c r="BL18" s="261">
        <f>BI18</f>
        <v>170734.27488470695</v>
      </c>
      <c r="BM18" s="261">
        <f t="shared" ref="BM18:BT18" si="6">BJ18</f>
        <v>170734.27488470695</v>
      </c>
      <c r="BN18" s="261">
        <f t="shared" si="6"/>
        <v>170734.27488470695</v>
      </c>
      <c r="BO18" s="261">
        <f t="shared" si="6"/>
        <v>170734.27488470695</v>
      </c>
      <c r="BP18" s="261">
        <f t="shared" si="6"/>
        <v>170734.27488470695</v>
      </c>
      <c r="BQ18" s="261">
        <f t="shared" si="6"/>
        <v>170734.27488470695</v>
      </c>
      <c r="BR18" s="261">
        <f t="shared" si="6"/>
        <v>170734.27488470695</v>
      </c>
      <c r="BS18" s="261">
        <f t="shared" si="6"/>
        <v>170734.27488470695</v>
      </c>
      <c r="BT18" s="261">
        <f t="shared" si="6"/>
        <v>170734.27488470695</v>
      </c>
    </row>
    <row r="19" spans="1:73" s="111" customFormat="1" ht="15" customHeight="1" thickBot="1" x14ac:dyDescent="0.3">
      <c r="A19" s="496"/>
      <c r="B19" s="262" t="s">
        <v>180</v>
      </c>
      <c r="C19" s="263"/>
      <c r="D19" s="264">
        <f>'Etat locatif prévi'!R4</f>
        <v>31250</v>
      </c>
      <c r="E19" s="265"/>
      <c r="F19" s="266"/>
      <c r="G19" s="267"/>
      <c r="H19" s="266"/>
      <c r="I19" s="265"/>
      <c r="J19" s="266"/>
      <c r="K19" s="267"/>
      <c r="L19" s="266"/>
      <c r="M19" s="268"/>
      <c r="N19" s="266"/>
      <c r="O19" s="267"/>
      <c r="P19" s="269">
        <f>D19</f>
        <v>31250</v>
      </c>
      <c r="Q19" s="268"/>
      <c r="R19" s="266"/>
      <c r="S19" s="267"/>
      <c r="T19" s="265">
        <f>P19+(P19*$D$14)</f>
        <v>32500</v>
      </c>
      <c r="U19" s="268"/>
      <c r="V19" s="266"/>
      <c r="W19" s="266"/>
      <c r="X19" s="269">
        <f>T19+(T19*$D$14)</f>
        <v>33800</v>
      </c>
      <c r="Y19" s="268"/>
      <c r="Z19" s="266"/>
      <c r="AA19" s="266"/>
      <c r="AB19" s="269">
        <f>X19+(X19*$D$14)</f>
        <v>35152</v>
      </c>
      <c r="AC19" s="268"/>
      <c r="AD19" s="266"/>
      <c r="AE19" s="266"/>
      <c r="AF19" s="269">
        <f>AB19+(AB19*$D$14)</f>
        <v>36558.080000000002</v>
      </c>
      <c r="AG19" s="268"/>
      <c r="AH19" s="266"/>
      <c r="AI19" s="266"/>
      <c r="AJ19" s="269">
        <f>AF19+(AF19*$D$14)</f>
        <v>38020.403200000001</v>
      </c>
      <c r="AK19" s="268"/>
      <c r="AL19" s="266"/>
      <c r="AM19" s="266"/>
      <c r="AN19" s="269">
        <f>AJ19+(AJ19*$D$14)</f>
        <v>39541.219327999999</v>
      </c>
      <c r="AO19" s="265"/>
      <c r="AP19" s="266"/>
      <c r="AQ19" s="267"/>
      <c r="AR19" s="265">
        <f>AN19+(AN19*$D$14)</f>
        <v>41122.868101120002</v>
      </c>
      <c r="AS19" s="268"/>
      <c r="AT19" s="266"/>
      <c r="AU19" s="270"/>
      <c r="AV19" s="271">
        <f>AR19+(AR19*$D$14)</f>
        <v>42767.782825164802</v>
      </c>
      <c r="AW19" s="268"/>
      <c r="AX19" s="266"/>
      <c r="AY19" s="267"/>
      <c r="AZ19" s="269">
        <f>AV19+(AV19*$D$14)</f>
        <v>44478.494138171394</v>
      </c>
      <c r="BA19" s="268"/>
      <c r="BB19" s="266"/>
      <c r="BC19" s="267"/>
      <c r="BD19" s="265">
        <f>AZ19+(AZ19*$D$14)</f>
        <v>46257.633903698254</v>
      </c>
      <c r="BE19" s="268"/>
      <c r="BF19" s="266"/>
      <c r="BG19" s="266"/>
      <c r="BH19" s="265">
        <f>BD19+(BD19*$D$14)</f>
        <v>48107.939259846185</v>
      </c>
      <c r="BI19" s="268"/>
      <c r="BJ19" s="266"/>
      <c r="BK19" s="266"/>
      <c r="BL19" s="269">
        <f>BH19+(BH19*$D$14)</f>
        <v>50032.256830240032</v>
      </c>
      <c r="BM19" s="269">
        <f t="shared" ref="BM19:BT19" si="7">BI19+(BI19*$D$14)</f>
        <v>0</v>
      </c>
      <c r="BN19" s="269">
        <f t="shared" si="7"/>
        <v>0</v>
      </c>
      <c r="BO19" s="269">
        <f t="shared" si="7"/>
        <v>0</v>
      </c>
      <c r="BP19" s="269">
        <f t="shared" si="7"/>
        <v>52033.547103449637</v>
      </c>
      <c r="BQ19" s="269">
        <f t="shared" si="7"/>
        <v>0</v>
      </c>
      <c r="BR19" s="269">
        <f t="shared" si="7"/>
        <v>0</v>
      </c>
      <c r="BS19" s="269">
        <f t="shared" si="7"/>
        <v>0</v>
      </c>
      <c r="BT19" s="269">
        <f t="shared" si="7"/>
        <v>54114.888987587619</v>
      </c>
    </row>
    <row r="20" spans="1:73" s="111" customFormat="1" ht="15" customHeight="1" thickBot="1" x14ac:dyDescent="0.3">
      <c r="A20" s="496"/>
      <c r="B20" s="262" t="s">
        <v>181</v>
      </c>
      <c r="C20" s="263"/>
      <c r="D20" s="264">
        <f>'Etat locatif prévi'!Q4</f>
        <v>28560</v>
      </c>
      <c r="E20" s="265"/>
      <c r="F20" s="266"/>
      <c r="G20" s="266"/>
      <c r="H20" s="269"/>
      <c r="I20" s="265"/>
      <c r="J20" s="266"/>
      <c r="K20" s="266"/>
      <c r="L20" s="269"/>
      <c r="M20" s="268">
        <f>D20/4</f>
        <v>7140</v>
      </c>
      <c r="N20" s="266">
        <v>7140</v>
      </c>
      <c r="O20" s="266">
        <v>7140</v>
      </c>
      <c r="P20" s="269">
        <v>7140</v>
      </c>
      <c r="Q20" s="268">
        <f>($D$20*(1+$D$12)^(Q12-1))/4</f>
        <v>7247.0999999999995</v>
      </c>
      <c r="R20" s="266">
        <f>+Q20</f>
        <v>7247.0999999999995</v>
      </c>
      <c r="S20" s="266">
        <f>+R20</f>
        <v>7247.0999999999995</v>
      </c>
      <c r="T20" s="269">
        <f>S20</f>
        <v>7247.0999999999995</v>
      </c>
      <c r="U20" s="268">
        <f>($D$20*(1+$D$12)^(U12-1))/4</f>
        <v>7355.8064999999979</v>
      </c>
      <c r="V20" s="266">
        <f>+U20</f>
        <v>7355.8064999999979</v>
      </c>
      <c r="W20" s="266">
        <f>+V20</f>
        <v>7355.8064999999979</v>
      </c>
      <c r="X20" s="269">
        <f>+W20</f>
        <v>7355.8064999999979</v>
      </c>
      <c r="Y20" s="268">
        <f>($D$20*(1+$D$12)^(Y12-1))/4</f>
        <v>7466.1435974999968</v>
      </c>
      <c r="Z20" s="266">
        <f>+Y20</f>
        <v>7466.1435974999968</v>
      </c>
      <c r="AA20" s="266">
        <f>+Z20</f>
        <v>7466.1435974999968</v>
      </c>
      <c r="AB20" s="269">
        <f>+AA20</f>
        <v>7466.1435974999968</v>
      </c>
      <c r="AC20" s="268">
        <f>($D$20*(1+$D$12)^(AC12-1))/4</f>
        <v>7578.135751462496</v>
      </c>
      <c r="AD20" s="266">
        <f>+AC20</f>
        <v>7578.135751462496</v>
      </c>
      <c r="AE20" s="266">
        <f>+AD20</f>
        <v>7578.135751462496</v>
      </c>
      <c r="AF20" s="269">
        <f>+AE20</f>
        <v>7578.135751462496</v>
      </c>
      <c r="AG20" s="268">
        <f>($D$20*(1+$D$12)^(AG12-1))/4</f>
        <v>7691.8077877344322</v>
      </c>
      <c r="AH20" s="266">
        <f>+AG20</f>
        <v>7691.8077877344322</v>
      </c>
      <c r="AI20" s="266">
        <f>+AH20</f>
        <v>7691.8077877344322</v>
      </c>
      <c r="AJ20" s="269">
        <f>+AI20</f>
        <v>7691.8077877344322</v>
      </c>
      <c r="AK20" s="268">
        <f>($D$20*(1+$D$12)^(AK12-1))/4</f>
        <v>7807.1849045504478</v>
      </c>
      <c r="AL20" s="266">
        <f>+AK20</f>
        <v>7807.1849045504478</v>
      </c>
      <c r="AM20" s="266">
        <f>+AL20</f>
        <v>7807.1849045504478</v>
      </c>
      <c r="AN20" s="269">
        <f>+AM20</f>
        <v>7807.1849045504478</v>
      </c>
      <c r="AO20" s="268">
        <f>($D$20*(1+$D$12)^(AO12-1))/4</f>
        <v>7924.2926781187025</v>
      </c>
      <c r="AP20" s="266">
        <f>+AO20</f>
        <v>7924.2926781187025</v>
      </c>
      <c r="AQ20" s="266">
        <f>+AP20</f>
        <v>7924.2926781187025</v>
      </c>
      <c r="AR20" s="269">
        <f>+AQ20</f>
        <v>7924.2926781187025</v>
      </c>
      <c r="AS20" s="268">
        <f>($D$20*(1+$D$12)^(AS12-1))/4</f>
        <v>8043.157068290483</v>
      </c>
      <c r="AT20" s="266">
        <f>+AS20</f>
        <v>8043.157068290483</v>
      </c>
      <c r="AU20" s="266">
        <f>+AT20</f>
        <v>8043.157068290483</v>
      </c>
      <c r="AV20" s="269">
        <f>+AU20</f>
        <v>8043.157068290483</v>
      </c>
      <c r="AW20" s="268">
        <f>($D$20*(1+$D$12)^(AW12-1))/4</f>
        <v>8163.8044243148388</v>
      </c>
      <c r="AX20" s="266">
        <f>+AW20</f>
        <v>8163.8044243148388</v>
      </c>
      <c r="AY20" s="266">
        <f>+AX20</f>
        <v>8163.8044243148388</v>
      </c>
      <c r="AZ20" s="269">
        <f>+AY20</f>
        <v>8163.8044243148388</v>
      </c>
      <c r="BA20" s="268">
        <f>($D$20*(1+$D$12)^(BA12-1))/4</f>
        <v>8286.2614906795607</v>
      </c>
      <c r="BB20" s="266">
        <f>+BA20</f>
        <v>8286.2614906795607</v>
      </c>
      <c r="BC20" s="266">
        <f>+BB20</f>
        <v>8286.2614906795607</v>
      </c>
      <c r="BD20" s="269">
        <f>+BC20</f>
        <v>8286.2614906795607</v>
      </c>
      <c r="BE20" s="268">
        <f>($D$20*(1+$D$12)^(BE12-1))/4</f>
        <v>8410.5554130397522</v>
      </c>
      <c r="BF20" s="266">
        <f>+BE20</f>
        <v>8410.5554130397522</v>
      </c>
      <c r="BG20" s="266">
        <f>+BF20</f>
        <v>8410.5554130397522</v>
      </c>
      <c r="BH20" s="269">
        <f>+BG20</f>
        <v>8410.5554130397522</v>
      </c>
      <c r="BI20" s="268">
        <f>($D$20*(1+$D$12)^(BI12-1))/4</f>
        <v>8536.7137442353469</v>
      </c>
      <c r="BJ20" s="266">
        <f>+BI20</f>
        <v>8536.7137442353469</v>
      </c>
      <c r="BK20" s="266">
        <f>+BJ20</f>
        <v>8536.7137442353469</v>
      </c>
      <c r="BL20" s="269">
        <f>+BK20</f>
        <v>8536.7137442353469</v>
      </c>
      <c r="BM20" s="269">
        <f t="shared" ref="BM20:BT20" si="8">+BL20</f>
        <v>8536.7137442353469</v>
      </c>
      <c r="BN20" s="269">
        <f t="shared" si="8"/>
        <v>8536.7137442353469</v>
      </c>
      <c r="BO20" s="269">
        <f t="shared" si="8"/>
        <v>8536.7137442353469</v>
      </c>
      <c r="BP20" s="269">
        <f t="shared" si="8"/>
        <v>8536.7137442353469</v>
      </c>
      <c r="BQ20" s="269">
        <f t="shared" si="8"/>
        <v>8536.7137442353469</v>
      </c>
      <c r="BR20" s="269">
        <f t="shared" si="8"/>
        <v>8536.7137442353469</v>
      </c>
      <c r="BS20" s="269">
        <f t="shared" si="8"/>
        <v>8536.7137442353469</v>
      </c>
      <c r="BT20" s="269">
        <f t="shared" si="8"/>
        <v>8536.7137442353469</v>
      </c>
    </row>
    <row r="21" spans="1:73" s="111" customFormat="1" ht="15" customHeight="1" thickBot="1" x14ac:dyDescent="0.3">
      <c r="A21" s="496"/>
      <c r="B21" s="262"/>
      <c r="C21" s="263"/>
      <c r="D21" s="264"/>
      <c r="E21" s="265"/>
      <c r="F21" s="266"/>
      <c r="G21" s="266"/>
      <c r="H21" s="269"/>
      <c r="I21" s="265"/>
      <c r="J21" s="266"/>
      <c r="K21" s="266"/>
      <c r="L21" s="269"/>
      <c r="M21" s="268"/>
      <c r="N21" s="266"/>
      <c r="O21" s="266"/>
      <c r="P21" s="269"/>
      <c r="Q21" s="268"/>
      <c r="R21" s="266"/>
      <c r="S21" s="266"/>
      <c r="T21" s="269"/>
      <c r="U21" s="268"/>
      <c r="V21" s="266"/>
      <c r="W21" s="266"/>
      <c r="X21" s="269"/>
      <c r="Y21" s="268"/>
      <c r="Z21" s="266"/>
      <c r="AA21" s="266"/>
      <c r="AB21" s="269"/>
      <c r="AC21" s="268"/>
      <c r="AD21" s="266"/>
      <c r="AE21" s="266"/>
      <c r="AF21" s="269"/>
      <c r="AG21" s="268"/>
      <c r="AH21" s="266"/>
      <c r="AI21" s="266"/>
      <c r="AJ21" s="269"/>
      <c r="AK21" s="268"/>
      <c r="AL21" s="266"/>
      <c r="AM21" s="266"/>
      <c r="AN21" s="269"/>
      <c r="AO21" s="268"/>
      <c r="AP21" s="266"/>
      <c r="AQ21" s="266"/>
      <c r="AR21" s="269"/>
      <c r="AS21" s="268"/>
      <c r="AT21" s="266"/>
      <c r="AU21" s="266"/>
      <c r="AV21" s="269"/>
      <c r="AW21" s="268"/>
      <c r="AX21" s="266"/>
      <c r="AY21" s="266"/>
      <c r="AZ21" s="269"/>
      <c r="BA21" s="268"/>
      <c r="BB21" s="266"/>
      <c r="BC21" s="266"/>
      <c r="BD21" s="269"/>
      <c r="BE21" s="268"/>
      <c r="BF21" s="266"/>
      <c r="BG21" s="266"/>
      <c r="BH21" s="269"/>
      <c r="BI21" s="268"/>
      <c r="BJ21" s="266"/>
      <c r="BK21" s="266"/>
      <c r="BL21" s="269"/>
      <c r="BM21" s="269"/>
      <c r="BN21" s="269"/>
      <c r="BO21" s="269"/>
      <c r="BP21" s="269"/>
      <c r="BQ21" s="269"/>
      <c r="BR21" s="269"/>
      <c r="BS21" s="269"/>
      <c r="BT21" s="269"/>
    </row>
    <row r="22" spans="1:73" s="111" customFormat="1" ht="15" customHeight="1" thickBot="1" x14ac:dyDescent="0.3">
      <c r="A22" s="496"/>
      <c r="B22" s="272"/>
      <c r="C22" s="263"/>
      <c r="D22" s="273"/>
      <c r="E22" s="265"/>
      <c r="F22" s="266"/>
      <c r="G22" s="266"/>
      <c r="H22" s="269"/>
      <c r="I22" s="268"/>
      <c r="J22" s="266"/>
      <c r="K22" s="266"/>
      <c r="L22" s="269"/>
      <c r="M22" s="268"/>
      <c r="N22" s="266"/>
      <c r="O22" s="266"/>
      <c r="P22" s="269"/>
      <c r="Q22" s="268"/>
      <c r="R22" s="266"/>
      <c r="S22" s="266"/>
      <c r="T22" s="269"/>
      <c r="U22" s="268"/>
      <c r="V22" s="266"/>
      <c r="W22" s="266"/>
      <c r="X22" s="269"/>
      <c r="Y22" s="268"/>
      <c r="Z22" s="266"/>
      <c r="AA22" s="266"/>
      <c r="AB22" s="269"/>
      <c r="AC22" s="268"/>
      <c r="AD22" s="266"/>
      <c r="AE22" s="266"/>
      <c r="AF22" s="269"/>
      <c r="AG22" s="268"/>
      <c r="AH22" s="266"/>
      <c r="AI22" s="266"/>
      <c r="AJ22" s="269"/>
      <c r="AK22" s="268"/>
      <c r="AL22" s="266"/>
      <c r="AM22" s="266"/>
      <c r="AN22" s="269"/>
      <c r="AO22" s="268"/>
      <c r="AP22" s="266"/>
      <c r="AQ22" s="266"/>
      <c r="AR22" s="269"/>
      <c r="AS22" s="268"/>
      <c r="AT22" s="266"/>
      <c r="AU22" s="266"/>
      <c r="AV22" s="269"/>
      <c r="AW22" s="268"/>
      <c r="AX22" s="266"/>
      <c r="AY22" s="266"/>
      <c r="AZ22" s="269"/>
      <c r="BA22" s="268"/>
      <c r="BB22" s="266"/>
      <c r="BC22" s="266"/>
      <c r="BD22" s="269"/>
      <c r="BE22" s="268"/>
      <c r="BF22" s="266"/>
      <c r="BG22" s="266"/>
      <c r="BH22" s="269"/>
      <c r="BI22" s="268"/>
      <c r="BJ22" s="266"/>
      <c r="BK22" s="266"/>
      <c r="BL22" s="269"/>
      <c r="BM22" s="269"/>
      <c r="BN22" s="269"/>
      <c r="BO22" s="269"/>
      <c r="BP22" s="269"/>
      <c r="BQ22" s="269"/>
      <c r="BR22" s="269"/>
      <c r="BS22" s="269"/>
      <c r="BT22" s="269"/>
    </row>
    <row r="23" spans="1:73" s="111" customFormat="1" ht="15" customHeight="1" thickBot="1" x14ac:dyDescent="0.3">
      <c r="A23" s="496"/>
      <c r="B23" s="272"/>
      <c r="C23" s="263"/>
      <c r="D23" s="273"/>
      <c r="E23" s="265"/>
      <c r="F23" s="266"/>
      <c r="G23" s="266"/>
      <c r="H23" s="269"/>
      <c r="I23" s="268"/>
      <c r="J23" s="266"/>
      <c r="K23" s="266"/>
      <c r="L23" s="269"/>
      <c r="M23" s="268"/>
      <c r="N23" s="266"/>
      <c r="O23" s="266"/>
      <c r="P23" s="269"/>
      <c r="Q23" s="268"/>
      <c r="R23" s="266"/>
      <c r="S23" s="266"/>
      <c r="T23" s="269"/>
      <c r="U23" s="268"/>
      <c r="V23" s="266"/>
      <c r="W23" s="266"/>
      <c r="X23" s="269"/>
      <c r="Y23" s="268"/>
      <c r="Z23" s="266"/>
      <c r="AA23" s="266"/>
      <c r="AB23" s="269"/>
      <c r="AC23" s="268"/>
      <c r="AD23" s="266"/>
      <c r="AE23" s="266"/>
      <c r="AF23" s="269"/>
      <c r="AG23" s="268"/>
      <c r="AH23" s="266"/>
      <c r="AI23" s="266"/>
      <c r="AJ23" s="269"/>
      <c r="AK23" s="268"/>
      <c r="AL23" s="266"/>
      <c r="AM23" s="266"/>
      <c r="AN23" s="269"/>
      <c r="AO23" s="265"/>
      <c r="AP23" s="266"/>
      <c r="AQ23" s="266"/>
      <c r="AR23" s="269"/>
      <c r="AS23" s="265"/>
      <c r="AT23" s="266"/>
      <c r="AU23" s="266"/>
      <c r="AV23" s="269"/>
      <c r="AW23" s="265"/>
      <c r="AX23" s="266"/>
      <c r="AY23" s="266"/>
      <c r="AZ23" s="269"/>
      <c r="BA23" s="265"/>
      <c r="BB23" s="266"/>
      <c r="BC23" s="266"/>
      <c r="BD23" s="269"/>
      <c r="BE23" s="265"/>
      <c r="BF23" s="266"/>
      <c r="BG23" s="266"/>
      <c r="BH23" s="269"/>
      <c r="BI23" s="265"/>
      <c r="BJ23" s="266"/>
      <c r="BK23" s="266"/>
      <c r="BL23" s="269"/>
      <c r="BM23" s="269"/>
      <c r="BN23" s="269"/>
      <c r="BO23" s="269"/>
      <c r="BP23" s="269"/>
      <c r="BQ23" s="269"/>
      <c r="BR23" s="269"/>
      <c r="BS23" s="269"/>
      <c r="BT23" s="269"/>
    </row>
    <row r="24" spans="1:73" s="111" customFormat="1" ht="15" customHeight="1" thickBot="1" x14ac:dyDescent="0.3">
      <c r="A24" s="496"/>
      <c r="B24" s="272"/>
      <c r="C24" s="263"/>
      <c r="D24" s="273"/>
      <c r="E24" s="265" t="s">
        <v>182</v>
      </c>
      <c r="F24" s="266"/>
      <c r="G24" s="266"/>
      <c r="H24" s="269"/>
      <c r="I24" s="268"/>
      <c r="J24" s="266"/>
      <c r="K24" s="266"/>
      <c r="L24" s="269"/>
      <c r="M24" s="268"/>
      <c r="N24" s="266"/>
      <c r="O24" s="266"/>
      <c r="P24" s="269"/>
      <c r="Q24" s="268"/>
      <c r="R24" s="266"/>
      <c r="S24" s="266"/>
      <c r="T24" s="269"/>
      <c r="U24" s="268"/>
      <c r="V24" s="266"/>
      <c r="W24" s="266"/>
      <c r="X24" s="269"/>
      <c r="Y24" s="268"/>
      <c r="Z24" s="266"/>
      <c r="AA24" s="266"/>
      <c r="AB24" s="269"/>
      <c r="AC24" s="268"/>
      <c r="AD24" s="266"/>
      <c r="AE24" s="266"/>
      <c r="AF24" s="269"/>
      <c r="AG24" s="268"/>
      <c r="AH24" s="266"/>
      <c r="AI24" s="266"/>
      <c r="AJ24" s="269"/>
      <c r="AK24" s="268"/>
      <c r="AL24" s="266"/>
      <c r="AM24" s="266"/>
      <c r="AN24" s="269"/>
      <c r="AO24" s="265"/>
      <c r="AP24" s="266"/>
      <c r="AQ24" s="266"/>
      <c r="AR24" s="269"/>
      <c r="AS24" s="265"/>
      <c r="AT24" s="266"/>
      <c r="AU24" s="266"/>
      <c r="AV24" s="269"/>
      <c r="AW24" s="265"/>
      <c r="AX24" s="266"/>
      <c r="AY24" s="266"/>
      <c r="AZ24" s="269"/>
      <c r="BA24" s="265"/>
      <c r="BB24" s="266"/>
      <c r="BC24" s="266"/>
      <c r="BD24" s="269"/>
      <c r="BE24" s="265"/>
      <c r="BF24" s="266"/>
      <c r="BG24" s="266"/>
      <c r="BH24" s="269"/>
      <c r="BI24" s="265"/>
      <c r="BJ24" s="266"/>
      <c r="BK24" s="266"/>
      <c r="BL24" s="269"/>
      <c r="BM24" s="269"/>
      <c r="BN24" s="269"/>
      <c r="BO24" s="269"/>
      <c r="BP24" s="269"/>
      <c r="BQ24" s="269"/>
      <c r="BR24" s="269"/>
      <c r="BS24" s="269"/>
      <c r="BT24" s="269"/>
    </row>
    <row r="25" spans="1:73" s="111" customFormat="1" ht="15" customHeight="1" thickBot="1" x14ac:dyDescent="0.3">
      <c r="A25" s="496"/>
      <c r="B25" s="262"/>
      <c r="C25" s="263"/>
      <c r="D25" s="264"/>
      <c r="E25" s="265"/>
      <c r="F25" s="266"/>
      <c r="G25" s="266"/>
      <c r="H25" s="269"/>
      <c r="I25" s="268"/>
      <c r="J25" s="266"/>
      <c r="K25" s="266"/>
      <c r="L25" s="269"/>
      <c r="M25" s="268"/>
      <c r="N25" s="266"/>
      <c r="O25" s="266"/>
      <c r="P25" s="269"/>
      <c r="Q25" s="268"/>
      <c r="R25" s="266"/>
      <c r="S25" s="266"/>
      <c r="T25" s="269"/>
      <c r="U25" s="268"/>
      <c r="V25" s="266"/>
      <c r="W25" s="266"/>
      <c r="X25" s="269"/>
      <c r="Y25" s="268"/>
      <c r="Z25" s="266"/>
      <c r="AA25" s="266"/>
      <c r="AB25" s="269"/>
      <c r="AC25" s="268"/>
      <c r="AD25" s="266"/>
      <c r="AE25" s="266"/>
      <c r="AF25" s="269"/>
      <c r="AG25" s="268"/>
      <c r="AH25" s="266"/>
      <c r="AI25" s="266"/>
      <c r="AJ25" s="269"/>
      <c r="AK25" s="268"/>
      <c r="AL25" s="266"/>
      <c r="AM25" s="266"/>
      <c r="AN25" s="269"/>
      <c r="AO25" s="265"/>
      <c r="AP25" s="266"/>
      <c r="AQ25" s="266"/>
      <c r="AR25" s="265"/>
      <c r="AS25" s="268"/>
      <c r="AT25" s="266"/>
      <c r="AU25" s="266"/>
      <c r="AV25" s="265"/>
      <c r="AW25" s="268"/>
      <c r="AX25" s="266"/>
      <c r="AY25" s="266"/>
      <c r="AZ25" s="265"/>
      <c r="BA25" s="268"/>
      <c r="BB25" s="266"/>
      <c r="BC25" s="266"/>
      <c r="BD25" s="265"/>
      <c r="BE25" s="268"/>
      <c r="BF25" s="266"/>
      <c r="BG25" s="266"/>
      <c r="BH25" s="265"/>
      <c r="BI25" s="268"/>
      <c r="BJ25" s="266"/>
      <c r="BK25" s="266"/>
      <c r="BL25" s="509"/>
      <c r="BM25" s="510"/>
      <c r="BN25" s="511"/>
      <c r="BO25" s="509"/>
      <c r="BP25" s="511"/>
      <c r="BQ25" s="509"/>
      <c r="BR25" s="510"/>
      <c r="BS25" s="511"/>
      <c r="BT25" s="509"/>
      <c r="BU25" s="512"/>
    </row>
    <row r="26" spans="1:73" s="111" customFormat="1" ht="15" customHeight="1" thickBot="1" x14ac:dyDescent="0.3">
      <c r="A26" s="496"/>
      <c r="B26" s="274"/>
      <c r="C26" s="275"/>
      <c r="D26" s="276"/>
      <c r="E26" s="277"/>
      <c r="F26" s="278"/>
      <c r="G26" s="278"/>
      <c r="H26" s="279"/>
      <c r="I26" s="280"/>
      <c r="J26" s="278"/>
      <c r="K26" s="278"/>
      <c r="L26" s="279"/>
      <c r="M26" s="280"/>
      <c r="N26" s="278"/>
      <c r="O26" s="278"/>
      <c r="P26" s="279"/>
      <c r="Q26" s="280"/>
      <c r="R26" s="278"/>
      <c r="S26" s="278"/>
      <c r="T26" s="279"/>
      <c r="U26" s="280"/>
      <c r="V26" s="278"/>
      <c r="W26" s="278"/>
      <c r="X26" s="279"/>
      <c r="Y26" s="280"/>
      <c r="Z26" s="278"/>
      <c r="AA26" s="278"/>
      <c r="AB26" s="279"/>
      <c r="AC26" s="280"/>
      <c r="AD26" s="278"/>
      <c r="AE26" s="278"/>
      <c r="AF26" s="279"/>
      <c r="AG26" s="280"/>
      <c r="AH26" s="278"/>
      <c r="AI26" s="278"/>
      <c r="AJ26" s="279"/>
      <c r="AK26" s="280"/>
      <c r="AL26" s="278"/>
      <c r="AM26" s="278"/>
      <c r="AN26" s="279"/>
      <c r="AO26" s="277"/>
      <c r="AP26" s="278"/>
      <c r="AQ26" s="278"/>
      <c r="AR26" s="279"/>
      <c r="AS26" s="277"/>
      <c r="AT26" s="278"/>
      <c r="AU26" s="278"/>
      <c r="AV26" s="279"/>
      <c r="AW26" s="277"/>
      <c r="AX26" s="278"/>
      <c r="AY26" s="278"/>
      <c r="AZ26" s="279"/>
      <c r="BA26" s="277"/>
      <c r="BB26" s="278"/>
      <c r="BC26" s="278"/>
      <c r="BD26" s="279"/>
      <c r="BE26" s="277"/>
      <c r="BF26" s="278"/>
      <c r="BG26" s="278"/>
      <c r="BH26" s="279"/>
      <c r="BI26" s="277"/>
      <c r="BJ26" s="278"/>
      <c r="BK26" s="278"/>
      <c r="BL26" s="279"/>
      <c r="BM26" s="279"/>
      <c r="BN26" s="279"/>
      <c r="BO26" s="279"/>
      <c r="BP26" s="279"/>
      <c r="BQ26" s="279"/>
      <c r="BR26" s="279"/>
      <c r="BS26" s="279"/>
      <c r="BT26" s="279"/>
    </row>
    <row r="27" spans="1:73" s="111" customFormat="1" ht="38.25" customHeight="1" thickTop="1" x14ac:dyDescent="0.25">
      <c r="B27" s="281" t="s">
        <v>183</v>
      </c>
      <c r="C27" s="282"/>
      <c r="D27" s="283"/>
      <c r="E27" s="284">
        <f t="shared" ref="E27:AJ27" si="9">E17</f>
        <v>0</v>
      </c>
      <c r="F27" s="285">
        <f t="shared" si="9"/>
        <v>0</v>
      </c>
      <c r="G27" s="285">
        <f t="shared" si="9"/>
        <v>0</v>
      </c>
      <c r="H27" s="286">
        <f t="shared" si="9"/>
        <v>0</v>
      </c>
      <c r="I27" s="287">
        <f t="shared" si="9"/>
        <v>0</v>
      </c>
      <c r="J27" s="285">
        <f t="shared" si="9"/>
        <v>0</v>
      </c>
      <c r="K27" s="285">
        <f t="shared" si="9"/>
        <v>0</v>
      </c>
      <c r="L27" s="286">
        <f t="shared" si="9"/>
        <v>0</v>
      </c>
      <c r="M27" s="287">
        <f t="shared" si="9"/>
        <v>142800</v>
      </c>
      <c r="N27" s="285">
        <f t="shared" si="9"/>
        <v>149940</v>
      </c>
      <c r="O27" s="285">
        <f t="shared" si="9"/>
        <v>149940</v>
      </c>
      <c r="P27" s="286">
        <f t="shared" si="9"/>
        <v>181190</v>
      </c>
      <c r="Q27" s="287">
        <f t="shared" si="9"/>
        <v>152189.1</v>
      </c>
      <c r="R27" s="285">
        <f t="shared" si="9"/>
        <v>152189.1</v>
      </c>
      <c r="S27" s="285">
        <f t="shared" si="9"/>
        <v>152189.1</v>
      </c>
      <c r="T27" s="286">
        <f t="shared" si="9"/>
        <v>184689.1</v>
      </c>
      <c r="U27" s="287">
        <f t="shared" si="9"/>
        <v>154471.93649999995</v>
      </c>
      <c r="V27" s="285">
        <f t="shared" si="9"/>
        <v>154471.93649999995</v>
      </c>
      <c r="W27" s="285">
        <f t="shared" si="9"/>
        <v>154471.93649999995</v>
      </c>
      <c r="X27" s="286">
        <f t="shared" si="9"/>
        <v>188271.93649999995</v>
      </c>
      <c r="Y27" s="287">
        <f t="shared" si="9"/>
        <v>156789.01554749993</v>
      </c>
      <c r="Z27" s="285">
        <f t="shared" si="9"/>
        <v>156789.01554749993</v>
      </c>
      <c r="AA27" s="285">
        <f t="shared" si="9"/>
        <v>156789.01554749993</v>
      </c>
      <c r="AB27" s="286">
        <f t="shared" si="9"/>
        <v>191941.01554749993</v>
      </c>
      <c r="AC27" s="287">
        <f t="shared" si="9"/>
        <v>159140.85078071241</v>
      </c>
      <c r="AD27" s="285">
        <f t="shared" si="9"/>
        <v>159140.85078071241</v>
      </c>
      <c r="AE27" s="285">
        <f t="shared" si="9"/>
        <v>159140.85078071241</v>
      </c>
      <c r="AF27" s="286">
        <f t="shared" si="9"/>
        <v>195698.9307807124</v>
      </c>
      <c r="AG27" s="287">
        <f t="shared" si="9"/>
        <v>161527.96354242309</v>
      </c>
      <c r="AH27" s="285">
        <f t="shared" si="9"/>
        <v>161527.96354242309</v>
      </c>
      <c r="AI27" s="285">
        <f t="shared" si="9"/>
        <v>161527.96354242309</v>
      </c>
      <c r="AJ27" s="286">
        <f t="shared" si="9"/>
        <v>199548.3667424231</v>
      </c>
      <c r="AK27" s="287">
        <f t="shared" ref="AK27:BT27" si="10">AK17</f>
        <v>163950.88299555937</v>
      </c>
      <c r="AL27" s="285">
        <f t="shared" si="10"/>
        <v>163950.88299555937</v>
      </c>
      <c r="AM27" s="285">
        <f t="shared" si="10"/>
        <v>163950.88299555937</v>
      </c>
      <c r="AN27" s="286">
        <f t="shared" si="10"/>
        <v>203492.10232355937</v>
      </c>
      <c r="AO27" s="284">
        <f t="shared" si="10"/>
        <v>166410.14624049276</v>
      </c>
      <c r="AP27" s="285">
        <f t="shared" si="10"/>
        <v>166410.14624049276</v>
      </c>
      <c r="AQ27" s="285">
        <f t="shared" si="10"/>
        <v>166410.14624049276</v>
      </c>
      <c r="AR27" s="286">
        <f t="shared" si="10"/>
        <v>207533.01434161275</v>
      </c>
      <c r="AS27" s="287">
        <f t="shared" si="10"/>
        <v>168906.29843410014</v>
      </c>
      <c r="AT27" s="285">
        <f t="shared" si="10"/>
        <v>168906.29843410014</v>
      </c>
      <c r="AU27" s="285">
        <f t="shared" si="10"/>
        <v>168906.29843410014</v>
      </c>
      <c r="AV27" s="286">
        <f t="shared" si="10"/>
        <v>211674.08125926493</v>
      </c>
      <c r="AW27" s="287">
        <f t="shared" si="10"/>
        <v>171439.89291061161</v>
      </c>
      <c r="AX27" s="285">
        <f t="shared" si="10"/>
        <v>171439.89291061161</v>
      </c>
      <c r="AY27" s="285">
        <f t="shared" si="10"/>
        <v>171439.89291061161</v>
      </c>
      <c r="AZ27" s="286">
        <f t="shared" si="10"/>
        <v>215918.38704878301</v>
      </c>
      <c r="BA27" s="287">
        <f t="shared" si="10"/>
        <v>174011.49130427075</v>
      </c>
      <c r="BB27" s="285">
        <f t="shared" si="10"/>
        <v>174011.49130427075</v>
      </c>
      <c r="BC27" s="285">
        <f t="shared" si="10"/>
        <v>174011.49130427075</v>
      </c>
      <c r="BD27" s="286">
        <f t="shared" si="10"/>
        <v>220269.12520796902</v>
      </c>
      <c r="BE27" s="287">
        <f t="shared" si="10"/>
        <v>176621.66367383482</v>
      </c>
      <c r="BF27" s="285">
        <f t="shared" si="10"/>
        <v>176621.66367383482</v>
      </c>
      <c r="BG27" s="285">
        <f t="shared" si="10"/>
        <v>176621.66367383482</v>
      </c>
      <c r="BH27" s="286">
        <f t="shared" si="10"/>
        <v>224729.60293368099</v>
      </c>
      <c r="BI27" s="287">
        <f t="shared" si="10"/>
        <v>179270.98862894229</v>
      </c>
      <c r="BJ27" s="285">
        <f t="shared" si="10"/>
        <v>179270.98862894229</v>
      </c>
      <c r="BK27" s="285">
        <f t="shared" si="10"/>
        <v>179270.98862894229</v>
      </c>
      <c r="BL27" s="286">
        <f t="shared" si="10"/>
        <v>229303.2454591823</v>
      </c>
      <c r="BM27" s="286">
        <f t="shared" si="10"/>
        <v>179270.98862894229</v>
      </c>
      <c r="BN27" s="286">
        <f t="shared" si="10"/>
        <v>179270.98862894229</v>
      </c>
      <c r="BO27" s="286">
        <f t="shared" si="10"/>
        <v>179270.98862894229</v>
      </c>
      <c r="BP27" s="286">
        <f t="shared" si="10"/>
        <v>231304.53573239193</v>
      </c>
      <c r="BQ27" s="286">
        <f t="shared" si="10"/>
        <v>179270.98862894229</v>
      </c>
      <c r="BR27" s="286">
        <f t="shared" si="10"/>
        <v>179270.98862894229</v>
      </c>
      <c r="BS27" s="286">
        <f t="shared" si="10"/>
        <v>179270.98862894229</v>
      </c>
      <c r="BT27" s="286">
        <f t="shared" si="10"/>
        <v>233385.87761652991</v>
      </c>
    </row>
    <row r="28" spans="1:73" s="111" customFormat="1" ht="15.75" customHeight="1" thickBot="1" x14ac:dyDescent="0.3">
      <c r="B28" s="288" t="s">
        <v>184</v>
      </c>
      <c r="C28" s="289"/>
      <c r="D28" s="290"/>
      <c r="E28" s="291">
        <f>+E27</f>
        <v>0</v>
      </c>
      <c r="F28" s="292">
        <f t="shared" ref="F28:AN28" si="11">E28+F27</f>
        <v>0</v>
      </c>
      <c r="G28" s="292">
        <f t="shared" si="11"/>
        <v>0</v>
      </c>
      <c r="H28" s="293">
        <f t="shared" si="11"/>
        <v>0</v>
      </c>
      <c r="I28" s="294">
        <f t="shared" si="11"/>
        <v>0</v>
      </c>
      <c r="J28" s="292">
        <f t="shared" si="11"/>
        <v>0</v>
      </c>
      <c r="K28" s="292">
        <f t="shared" si="11"/>
        <v>0</v>
      </c>
      <c r="L28" s="293">
        <f t="shared" si="11"/>
        <v>0</v>
      </c>
      <c r="M28" s="294">
        <f t="shared" si="11"/>
        <v>142800</v>
      </c>
      <c r="N28" s="292">
        <f t="shared" si="11"/>
        <v>292740</v>
      </c>
      <c r="O28" s="292">
        <f t="shared" si="11"/>
        <v>442680</v>
      </c>
      <c r="P28" s="293">
        <f t="shared" si="11"/>
        <v>623870</v>
      </c>
      <c r="Q28" s="294">
        <f t="shared" si="11"/>
        <v>776059.1</v>
      </c>
      <c r="R28" s="292">
        <f t="shared" si="11"/>
        <v>928248.2</v>
      </c>
      <c r="S28" s="292">
        <f t="shared" si="11"/>
        <v>1080437.3</v>
      </c>
      <c r="T28" s="293">
        <f t="shared" si="11"/>
        <v>1265126.4000000001</v>
      </c>
      <c r="U28" s="294">
        <f t="shared" si="11"/>
        <v>1419598.3365000002</v>
      </c>
      <c r="V28" s="292">
        <f t="shared" si="11"/>
        <v>1574070.273</v>
      </c>
      <c r="W28" s="292">
        <f t="shared" si="11"/>
        <v>1728542.2094999999</v>
      </c>
      <c r="X28" s="293">
        <f t="shared" si="11"/>
        <v>1916814.1459999997</v>
      </c>
      <c r="Y28" s="294">
        <f t="shared" si="11"/>
        <v>2073603.1615474997</v>
      </c>
      <c r="Z28" s="292">
        <f t="shared" si="11"/>
        <v>2230392.1770949997</v>
      </c>
      <c r="AA28" s="292">
        <f t="shared" si="11"/>
        <v>2387181.1926424997</v>
      </c>
      <c r="AB28" s="293">
        <f t="shared" si="11"/>
        <v>2579122.2081899997</v>
      </c>
      <c r="AC28" s="294">
        <f t="shared" si="11"/>
        <v>2738263.0589707121</v>
      </c>
      <c r="AD28" s="292">
        <f t="shared" si="11"/>
        <v>2897403.9097514246</v>
      </c>
      <c r="AE28" s="292">
        <f t="shared" si="11"/>
        <v>3056544.760532137</v>
      </c>
      <c r="AF28" s="293">
        <f t="shared" si="11"/>
        <v>3252243.6913128495</v>
      </c>
      <c r="AG28" s="294">
        <f t="shared" si="11"/>
        <v>3413771.6548552727</v>
      </c>
      <c r="AH28" s="292">
        <f t="shared" si="11"/>
        <v>3575299.6183976959</v>
      </c>
      <c r="AI28" s="292">
        <f t="shared" si="11"/>
        <v>3736827.5819401192</v>
      </c>
      <c r="AJ28" s="293">
        <f t="shared" si="11"/>
        <v>3936375.9486825424</v>
      </c>
      <c r="AK28" s="294">
        <f t="shared" si="11"/>
        <v>4100326.8316781018</v>
      </c>
      <c r="AL28" s="292">
        <f t="shared" si="11"/>
        <v>4264277.7146736607</v>
      </c>
      <c r="AM28" s="292">
        <f t="shared" si="11"/>
        <v>4428228.5976692196</v>
      </c>
      <c r="AN28" s="293">
        <f t="shared" si="11"/>
        <v>4631720.6999927787</v>
      </c>
      <c r="AO28" s="291">
        <f>+AO27</f>
        <v>166410.14624049276</v>
      </c>
      <c r="AP28" s="292">
        <f t="shared" ref="AP28:BL28" si="12">AO28+AP27</f>
        <v>332820.29248098552</v>
      </c>
      <c r="AQ28" s="292">
        <f t="shared" si="12"/>
        <v>499230.43872147828</v>
      </c>
      <c r="AR28" s="293">
        <f t="shared" si="12"/>
        <v>706763.45306309103</v>
      </c>
      <c r="AS28" s="294">
        <f t="shared" si="12"/>
        <v>875669.75149719114</v>
      </c>
      <c r="AT28" s="292">
        <f t="shared" si="12"/>
        <v>1044576.0499312913</v>
      </c>
      <c r="AU28" s="292">
        <f t="shared" si="12"/>
        <v>1213482.3483653914</v>
      </c>
      <c r="AV28" s="293">
        <f t="shared" si="12"/>
        <v>1425156.4296246562</v>
      </c>
      <c r="AW28" s="294">
        <f t="shared" si="12"/>
        <v>1596596.3225352678</v>
      </c>
      <c r="AX28" s="292">
        <f t="shared" si="12"/>
        <v>1768036.2154458794</v>
      </c>
      <c r="AY28" s="292">
        <f t="shared" si="12"/>
        <v>1939476.108356491</v>
      </c>
      <c r="AZ28" s="293">
        <f t="shared" si="12"/>
        <v>2155394.495405274</v>
      </c>
      <c r="BA28" s="294">
        <f t="shared" si="12"/>
        <v>2329405.9867095449</v>
      </c>
      <c r="BB28" s="292">
        <f t="shared" si="12"/>
        <v>2503417.4780138158</v>
      </c>
      <c r="BC28" s="292">
        <f t="shared" si="12"/>
        <v>2677428.9693180867</v>
      </c>
      <c r="BD28" s="293">
        <f t="shared" si="12"/>
        <v>2897698.0945260557</v>
      </c>
      <c r="BE28" s="294">
        <f t="shared" si="12"/>
        <v>3074319.7581998906</v>
      </c>
      <c r="BF28" s="292">
        <f t="shared" si="12"/>
        <v>3250941.4218737255</v>
      </c>
      <c r="BG28" s="292">
        <f t="shared" si="12"/>
        <v>3427563.0855475604</v>
      </c>
      <c r="BH28" s="293">
        <f t="shared" si="12"/>
        <v>3652292.6884812415</v>
      </c>
      <c r="BI28" s="294">
        <f t="shared" si="12"/>
        <v>3831563.677110184</v>
      </c>
      <c r="BJ28" s="292">
        <f t="shared" si="12"/>
        <v>4010834.6657391265</v>
      </c>
      <c r="BK28" s="292">
        <f t="shared" si="12"/>
        <v>4190105.654368069</v>
      </c>
      <c r="BL28" s="293">
        <f t="shared" si="12"/>
        <v>4419408.8998272512</v>
      </c>
      <c r="BM28" s="293">
        <f t="shared" ref="BM28" si="13">BL28+BM27</f>
        <v>4598679.8884561937</v>
      </c>
      <c r="BN28" s="293">
        <f t="shared" ref="BN28" si="14">BM28+BN27</f>
        <v>4777950.8770851362</v>
      </c>
      <c r="BO28" s="293">
        <f t="shared" ref="BO28" si="15">BN28+BO27</f>
        <v>4957221.8657140788</v>
      </c>
      <c r="BP28" s="293">
        <f t="shared" ref="BP28" si="16">BO28+BP27</f>
        <v>5188526.401446471</v>
      </c>
      <c r="BQ28" s="293">
        <f t="shared" ref="BQ28" si="17">BP28+BQ27</f>
        <v>5367797.3900754135</v>
      </c>
      <c r="BR28" s="293">
        <f t="shared" ref="BR28" si="18">BQ28+BR27</f>
        <v>5547068.378704356</v>
      </c>
      <c r="BS28" s="293">
        <f t="shared" ref="BS28" si="19">BR28+BS27</f>
        <v>5726339.3673332985</v>
      </c>
      <c r="BT28" s="293">
        <f t="shared" ref="BT28" si="20">BS28+BT27</f>
        <v>5959725.2449498288</v>
      </c>
    </row>
    <row r="29" spans="1:73" s="295" customFormat="1" ht="24" customHeight="1" x14ac:dyDescent="0.3">
      <c r="B29" s="296" t="s">
        <v>185</v>
      </c>
      <c r="C29" s="297"/>
      <c r="D29" s="298"/>
      <c r="E29" s="299">
        <f t="shared" ref="E29:AJ29" si="21">E27*0.2</f>
        <v>0</v>
      </c>
      <c r="F29" s="300">
        <f t="shared" si="21"/>
        <v>0</v>
      </c>
      <c r="G29" s="300">
        <f t="shared" si="21"/>
        <v>0</v>
      </c>
      <c r="H29" s="301">
        <f t="shared" si="21"/>
        <v>0</v>
      </c>
      <c r="I29" s="302">
        <f t="shared" si="21"/>
        <v>0</v>
      </c>
      <c r="J29" s="300">
        <f t="shared" si="21"/>
        <v>0</v>
      </c>
      <c r="K29" s="300">
        <f t="shared" si="21"/>
        <v>0</v>
      </c>
      <c r="L29" s="301">
        <f t="shared" si="21"/>
        <v>0</v>
      </c>
      <c r="M29" s="302">
        <f t="shared" si="21"/>
        <v>28560</v>
      </c>
      <c r="N29" s="300">
        <f t="shared" si="21"/>
        <v>29988</v>
      </c>
      <c r="O29" s="300">
        <f t="shared" si="21"/>
        <v>29988</v>
      </c>
      <c r="P29" s="301">
        <f t="shared" si="21"/>
        <v>36238</v>
      </c>
      <c r="Q29" s="302">
        <f t="shared" si="21"/>
        <v>30437.820000000003</v>
      </c>
      <c r="R29" s="300">
        <f t="shared" si="21"/>
        <v>30437.820000000003</v>
      </c>
      <c r="S29" s="300">
        <f t="shared" si="21"/>
        <v>30437.820000000003</v>
      </c>
      <c r="T29" s="301">
        <f t="shared" si="21"/>
        <v>36937.82</v>
      </c>
      <c r="U29" s="302">
        <f t="shared" si="21"/>
        <v>30894.387299999991</v>
      </c>
      <c r="V29" s="300">
        <f t="shared" si="21"/>
        <v>30894.387299999991</v>
      </c>
      <c r="W29" s="300">
        <f t="shared" si="21"/>
        <v>30894.387299999991</v>
      </c>
      <c r="X29" s="301">
        <f t="shared" si="21"/>
        <v>37654.387299999995</v>
      </c>
      <c r="Y29" s="302">
        <f t="shared" si="21"/>
        <v>31357.80310949999</v>
      </c>
      <c r="Z29" s="300">
        <f t="shared" si="21"/>
        <v>31357.80310949999</v>
      </c>
      <c r="AA29" s="300">
        <f t="shared" si="21"/>
        <v>31357.80310949999</v>
      </c>
      <c r="AB29" s="301">
        <f t="shared" si="21"/>
        <v>38388.203109499991</v>
      </c>
      <c r="AC29" s="302">
        <f t="shared" si="21"/>
        <v>31828.170156142485</v>
      </c>
      <c r="AD29" s="300">
        <f t="shared" si="21"/>
        <v>31828.170156142485</v>
      </c>
      <c r="AE29" s="300">
        <f t="shared" si="21"/>
        <v>31828.170156142485</v>
      </c>
      <c r="AF29" s="301">
        <f t="shared" si="21"/>
        <v>39139.78615614248</v>
      </c>
      <c r="AG29" s="302">
        <f t="shared" si="21"/>
        <v>32305.592708484619</v>
      </c>
      <c r="AH29" s="300">
        <f t="shared" si="21"/>
        <v>32305.592708484619</v>
      </c>
      <c r="AI29" s="300">
        <f t="shared" si="21"/>
        <v>32305.592708484619</v>
      </c>
      <c r="AJ29" s="301">
        <f t="shared" si="21"/>
        <v>39909.673348484619</v>
      </c>
      <c r="AK29" s="302">
        <f t="shared" ref="AK29:BT29" si="22">AK27*0.2</f>
        <v>32790.176599111874</v>
      </c>
      <c r="AL29" s="300">
        <f t="shared" si="22"/>
        <v>32790.176599111874</v>
      </c>
      <c r="AM29" s="300">
        <f t="shared" si="22"/>
        <v>32790.176599111874</v>
      </c>
      <c r="AN29" s="301">
        <f t="shared" si="22"/>
        <v>40698.420464711875</v>
      </c>
      <c r="AO29" s="302">
        <f t="shared" si="22"/>
        <v>33282.029248098552</v>
      </c>
      <c r="AP29" s="300">
        <f t="shared" si="22"/>
        <v>33282.029248098552</v>
      </c>
      <c r="AQ29" s="300">
        <f t="shared" si="22"/>
        <v>33282.029248098552</v>
      </c>
      <c r="AR29" s="301">
        <f t="shared" si="22"/>
        <v>41506.602868322552</v>
      </c>
      <c r="AS29" s="302">
        <f t="shared" si="22"/>
        <v>33781.259686820027</v>
      </c>
      <c r="AT29" s="300">
        <f t="shared" si="22"/>
        <v>33781.259686820027</v>
      </c>
      <c r="AU29" s="300">
        <f t="shared" si="22"/>
        <v>33781.259686820027</v>
      </c>
      <c r="AV29" s="301">
        <f t="shared" si="22"/>
        <v>42334.816251852986</v>
      </c>
      <c r="AW29" s="302">
        <f t="shared" si="22"/>
        <v>34287.978582122327</v>
      </c>
      <c r="AX29" s="300">
        <f t="shared" si="22"/>
        <v>34287.978582122327</v>
      </c>
      <c r="AY29" s="300">
        <f t="shared" si="22"/>
        <v>34287.978582122327</v>
      </c>
      <c r="AZ29" s="301">
        <f t="shared" si="22"/>
        <v>43183.677409756609</v>
      </c>
      <c r="BA29" s="302">
        <f t="shared" si="22"/>
        <v>34802.29826085415</v>
      </c>
      <c r="BB29" s="300">
        <f t="shared" si="22"/>
        <v>34802.29826085415</v>
      </c>
      <c r="BC29" s="300">
        <f t="shared" si="22"/>
        <v>34802.29826085415</v>
      </c>
      <c r="BD29" s="301">
        <f t="shared" si="22"/>
        <v>44053.825041593809</v>
      </c>
      <c r="BE29" s="302">
        <f t="shared" si="22"/>
        <v>35324.332734766962</v>
      </c>
      <c r="BF29" s="300">
        <f t="shared" si="22"/>
        <v>35324.332734766962</v>
      </c>
      <c r="BG29" s="300">
        <f t="shared" si="22"/>
        <v>35324.332734766962</v>
      </c>
      <c r="BH29" s="301">
        <f t="shared" si="22"/>
        <v>44945.920586736203</v>
      </c>
      <c r="BI29" s="302">
        <f t="shared" si="22"/>
        <v>35854.197725788457</v>
      </c>
      <c r="BJ29" s="300">
        <f t="shared" si="22"/>
        <v>35854.197725788457</v>
      </c>
      <c r="BK29" s="300">
        <f t="shared" si="22"/>
        <v>35854.197725788457</v>
      </c>
      <c r="BL29" s="301">
        <f t="shared" si="22"/>
        <v>45860.649091836465</v>
      </c>
      <c r="BM29" s="301">
        <f t="shared" si="22"/>
        <v>35854.197725788457</v>
      </c>
      <c r="BN29" s="301">
        <f t="shared" si="22"/>
        <v>35854.197725788457</v>
      </c>
      <c r="BO29" s="301">
        <f t="shared" si="22"/>
        <v>35854.197725788457</v>
      </c>
      <c r="BP29" s="301">
        <f t="shared" si="22"/>
        <v>46260.907146478392</v>
      </c>
      <c r="BQ29" s="301">
        <f t="shared" si="22"/>
        <v>35854.197725788457</v>
      </c>
      <c r="BR29" s="301">
        <f t="shared" si="22"/>
        <v>35854.197725788457</v>
      </c>
      <c r="BS29" s="301">
        <f t="shared" si="22"/>
        <v>35854.197725788457</v>
      </c>
      <c r="BT29" s="301">
        <f t="shared" si="22"/>
        <v>46677.175523305981</v>
      </c>
    </row>
    <row r="30" spans="1:73" s="295" customFormat="1" ht="24" customHeight="1" thickBot="1" x14ac:dyDescent="0.35">
      <c r="B30" s="303" t="s">
        <v>186</v>
      </c>
      <c r="C30" s="304"/>
      <c r="D30" s="305"/>
      <c r="E30" s="306">
        <f t="shared" ref="E30:AJ30" si="23">SUM(E27,E29)</f>
        <v>0</v>
      </c>
      <c r="F30" s="307">
        <f t="shared" si="23"/>
        <v>0</v>
      </c>
      <c r="G30" s="307">
        <f t="shared" si="23"/>
        <v>0</v>
      </c>
      <c r="H30" s="308">
        <f t="shared" si="23"/>
        <v>0</v>
      </c>
      <c r="I30" s="309">
        <f t="shared" si="23"/>
        <v>0</v>
      </c>
      <c r="J30" s="307">
        <f t="shared" si="23"/>
        <v>0</v>
      </c>
      <c r="K30" s="307">
        <f t="shared" si="23"/>
        <v>0</v>
      </c>
      <c r="L30" s="308">
        <f t="shared" si="23"/>
        <v>0</v>
      </c>
      <c r="M30" s="309">
        <f t="shared" si="23"/>
        <v>171360</v>
      </c>
      <c r="N30" s="307">
        <f t="shared" si="23"/>
        <v>179928</v>
      </c>
      <c r="O30" s="310">
        <f t="shared" si="23"/>
        <v>179928</v>
      </c>
      <c r="P30" s="308">
        <f t="shared" si="23"/>
        <v>217428</v>
      </c>
      <c r="Q30" s="309">
        <f t="shared" si="23"/>
        <v>182626.92</v>
      </c>
      <c r="R30" s="307">
        <f t="shared" si="23"/>
        <v>182626.92</v>
      </c>
      <c r="S30" s="307">
        <f t="shared" si="23"/>
        <v>182626.92</v>
      </c>
      <c r="T30" s="308">
        <f t="shared" si="23"/>
        <v>221626.92</v>
      </c>
      <c r="U30" s="309">
        <f t="shared" si="23"/>
        <v>185366.32379999995</v>
      </c>
      <c r="V30" s="307">
        <f t="shared" si="23"/>
        <v>185366.32379999995</v>
      </c>
      <c r="W30" s="307">
        <f t="shared" si="23"/>
        <v>185366.32379999995</v>
      </c>
      <c r="X30" s="308">
        <f t="shared" si="23"/>
        <v>225926.32379999995</v>
      </c>
      <c r="Y30" s="309">
        <f t="shared" si="23"/>
        <v>188146.81865699991</v>
      </c>
      <c r="Z30" s="307">
        <f t="shared" si="23"/>
        <v>188146.81865699991</v>
      </c>
      <c r="AA30" s="307">
        <f t="shared" si="23"/>
        <v>188146.81865699991</v>
      </c>
      <c r="AB30" s="308">
        <f t="shared" si="23"/>
        <v>230329.21865699993</v>
      </c>
      <c r="AC30" s="309">
        <f t="shared" si="23"/>
        <v>190969.02093685488</v>
      </c>
      <c r="AD30" s="307">
        <f t="shared" si="23"/>
        <v>190969.02093685488</v>
      </c>
      <c r="AE30" s="307">
        <f t="shared" si="23"/>
        <v>190969.02093685488</v>
      </c>
      <c r="AF30" s="308">
        <f t="shared" si="23"/>
        <v>234838.71693685488</v>
      </c>
      <c r="AG30" s="309">
        <f t="shared" si="23"/>
        <v>193833.55625090771</v>
      </c>
      <c r="AH30" s="307">
        <f t="shared" si="23"/>
        <v>193833.55625090771</v>
      </c>
      <c r="AI30" s="307">
        <f t="shared" si="23"/>
        <v>193833.55625090771</v>
      </c>
      <c r="AJ30" s="308">
        <f t="shared" si="23"/>
        <v>239458.04009090771</v>
      </c>
      <c r="AK30" s="309">
        <f t="shared" ref="AK30:BT30" si="24">SUM(AK27,AK29)</f>
        <v>196741.05959467124</v>
      </c>
      <c r="AL30" s="307">
        <f t="shared" si="24"/>
        <v>196741.05959467124</v>
      </c>
      <c r="AM30" s="307">
        <f t="shared" si="24"/>
        <v>196741.05959467124</v>
      </c>
      <c r="AN30" s="308">
        <f t="shared" si="24"/>
        <v>244190.52278827125</v>
      </c>
      <c r="AO30" s="309">
        <f t="shared" si="24"/>
        <v>199692.17548859131</v>
      </c>
      <c r="AP30" s="307">
        <f t="shared" si="24"/>
        <v>199692.17548859131</v>
      </c>
      <c r="AQ30" s="307">
        <f t="shared" si="24"/>
        <v>199692.17548859131</v>
      </c>
      <c r="AR30" s="308">
        <f t="shared" si="24"/>
        <v>249039.6172099353</v>
      </c>
      <c r="AS30" s="309">
        <f t="shared" si="24"/>
        <v>202687.55812092018</v>
      </c>
      <c r="AT30" s="307">
        <f t="shared" si="24"/>
        <v>202687.55812092018</v>
      </c>
      <c r="AU30" s="307">
        <f t="shared" si="24"/>
        <v>202687.55812092018</v>
      </c>
      <c r="AV30" s="308">
        <f t="shared" si="24"/>
        <v>254008.89751111792</v>
      </c>
      <c r="AW30" s="309">
        <f t="shared" si="24"/>
        <v>205727.87149273395</v>
      </c>
      <c r="AX30" s="307">
        <f t="shared" si="24"/>
        <v>205727.87149273395</v>
      </c>
      <c r="AY30" s="310">
        <f t="shared" si="24"/>
        <v>205727.87149273395</v>
      </c>
      <c r="AZ30" s="308">
        <f t="shared" si="24"/>
        <v>259102.06445853962</v>
      </c>
      <c r="BA30" s="309">
        <f t="shared" si="24"/>
        <v>208813.7895651249</v>
      </c>
      <c r="BB30" s="307">
        <f t="shared" si="24"/>
        <v>208813.7895651249</v>
      </c>
      <c r="BC30" s="307">
        <f t="shared" si="24"/>
        <v>208813.7895651249</v>
      </c>
      <c r="BD30" s="308">
        <f t="shared" si="24"/>
        <v>264322.95024956285</v>
      </c>
      <c r="BE30" s="309">
        <f t="shared" si="24"/>
        <v>211945.99640860179</v>
      </c>
      <c r="BF30" s="307">
        <f t="shared" si="24"/>
        <v>211945.99640860179</v>
      </c>
      <c r="BG30" s="307">
        <f t="shared" si="24"/>
        <v>211945.99640860179</v>
      </c>
      <c r="BH30" s="308">
        <f t="shared" si="24"/>
        <v>269675.52352041716</v>
      </c>
      <c r="BI30" s="309">
        <f t="shared" si="24"/>
        <v>215125.18635473074</v>
      </c>
      <c r="BJ30" s="307">
        <f t="shared" si="24"/>
        <v>215125.18635473074</v>
      </c>
      <c r="BK30" s="307">
        <f t="shared" si="24"/>
        <v>215125.18635473074</v>
      </c>
      <c r="BL30" s="308">
        <f t="shared" si="24"/>
        <v>275163.89455101878</v>
      </c>
      <c r="BM30" s="308">
        <f t="shared" si="24"/>
        <v>215125.18635473074</v>
      </c>
      <c r="BN30" s="308">
        <f t="shared" si="24"/>
        <v>215125.18635473074</v>
      </c>
      <c r="BO30" s="308">
        <f t="shared" si="24"/>
        <v>215125.18635473074</v>
      </c>
      <c r="BP30" s="308">
        <f t="shared" si="24"/>
        <v>277565.44287887029</v>
      </c>
      <c r="BQ30" s="308">
        <f t="shared" si="24"/>
        <v>215125.18635473074</v>
      </c>
      <c r="BR30" s="308">
        <f t="shared" si="24"/>
        <v>215125.18635473074</v>
      </c>
      <c r="BS30" s="308">
        <f t="shared" si="24"/>
        <v>215125.18635473074</v>
      </c>
      <c r="BT30" s="308">
        <f t="shared" si="24"/>
        <v>280063.05313983589</v>
      </c>
    </row>
    <row r="31" spans="1:73" s="311" customFormat="1" ht="15.75" customHeight="1" x14ac:dyDescent="0.25"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5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5"/>
      <c r="AZ31" s="314"/>
      <c r="BA31" s="314"/>
      <c r="BB31" s="314"/>
      <c r="BC31" s="314"/>
      <c r="BD31" s="314"/>
      <c r="BE31" s="314"/>
      <c r="BF31" s="314"/>
      <c r="BG31" s="314"/>
      <c r="BH31" s="314"/>
      <c r="BI31" s="314"/>
      <c r="BJ31" s="314"/>
      <c r="BK31" s="314"/>
      <c r="BL31" s="314"/>
    </row>
    <row r="32" spans="1:73" s="311" customFormat="1" ht="15.75" customHeight="1" x14ac:dyDescent="0.25"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4"/>
      <c r="BH32" s="314"/>
      <c r="BI32" s="314"/>
      <c r="BJ32" s="314"/>
      <c r="BK32" s="314"/>
      <c r="BL32" s="314"/>
    </row>
    <row r="33" spans="2:72 16384:16384" s="311" customFormat="1" ht="15.75" customHeight="1" x14ac:dyDescent="0.25"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4"/>
      <c r="BH33" s="314"/>
      <c r="BI33" s="314"/>
      <c r="BJ33" s="314"/>
      <c r="BK33" s="314"/>
      <c r="BL33" s="314"/>
    </row>
    <row r="34" spans="2:72 16384:16384" s="197" customFormat="1" ht="18.75" customHeight="1" x14ac:dyDescent="0.3">
      <c r="B34" s="316"/>
      <c r="C34" s="317"/>
      <c r="D34" s="497" t="s">
        <v>187</v>
      </c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9"/>
      <c r="BM34" s="318"/>
      <c r="BN34" s="318"/>
      <c r="BO34" s="318"/>
      <c r="BP34" s="319"/>
      <c r="BQ34" s="318"/>
      <c r="BR34" s="318"/>
      <c r="BS34" s="318"/>
      <c r="BT34" s="319"/>
    </row>
    <row r="35" spans="2:72 16384:16384" ht="15.75" customHeight="1" thickBot="1" x14ac:dyDescent="0.3"/>
    <row r="36" spans="2:72 16384:16384" ht="15.75" customHeight="1" thickBot="1" x14ac:dyDescent="0.3">
      <c r="C36" s="320" t="s">
        <v>188</v>
      </c>
      <c r="D36" s="321">
        <f>D12</f>
        <v>1.4999999999999999E-2</v>
      </c>
      <c r="E36" s="322"/>
      <c r="F36" s="323"/>
      <c r="G36" s="324"/>
      <c r="H36" s="324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2"/>
      <c r="AP36" s="323"/>
      <c r="AQ36" s="324"/>
      <c r="AR36" s="324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</row>
    <row r="37" spans="2:72 16384:16384" s="326" customFormat="1" ht="15.75" customHeight="1" x14ac:dyDescent="0.25">
      <c r="B37" s="327"/>
      <c r="C37" s="328"/>
      <c r="D37" s="329" t="s">
        <v>189</v>
      </c>
      <c r="E37" s="330"/>
      <c r="F37" s="331"/>
      <c r="G37" s="331"/>
      <c r="H37" s="332"/>
      <c r="I37" s="330"/>
      <c r="J37" s="331"/>
      <c r="K37" s="331"/>
      <c r="L37" s="332"/>
      <c r="M37" s="330"/>
      <c r="N37" s="331"/>
      <c r="O37" s="331"/>
      <c r="P37" s="332"/>
      <c r="Q37" s="330"/>
      <c r="R37" s="331"/>
      <c r="S37" s="331"/>
      <c r="T37" s="332"/>
      <c r="U37" s="330"/>
      <c r="V37" s="331"/>
      <c r="W37" s="331"/>
      <c r="X37" s="332"/>
      <c r="Y37" s="330"/>
      <c r="Z37" s="331"/>
      <c r="AA37" s="331"/>
      <c r="AB37" s="332"/>
      <c r="AC37" s="330"/>
      <c r="AD37" s="331"/>
      <c r="AE37" s="331"/>
      <c r="AF37" s="332"/>
      <c r="AG37" s="330"/>
      <c r="AH37" s="331"/>
      <c r="AI37" s="331"/>
      <c r="AJ37" s="332"/>
      <c r="AK37" s="330"/>
      <c r="AL37" s="331"/>
      <c r="AM37" s="331"/>
      <c r="AN37" s="332"/>
      <c r="AO37" s="330"/>
      <c r="AP37" s="331"/>
      <c r="AQ37" s="331"/>
      <c r="AR37" s="332"/>
      <c r="AS37" s="330"/>
      <c r="AT37" s="331"/>
      <c r="AU37" s="331"/>
      <c r="AV37" s="332"/>
      <c r="AW37" s="330"/>
      <c r="AX37" s="331"/>
      <c r="AY37" s="331"/>
      <c r="AZ37" s="332"/>
      <c r="BA37" s="330"/>
      <c r="BB37" s="331"/>
      <c r="BC37" s="331"/>
      <c r="BD37" s="332"/>
      <c r="BE37" s="330"/>
      <c r="BF37" s="331"/>
      <c r="BG37" s="331"/>
      <c r="BH37" s="332"/>
      <c r="BI37" s="330"/>
      <c r="BJ37" s="331"/>
      <c r="BK37" s="331"/>
      <c r="BL37" s="332"/>
      <c r="BM37" s="330"/>
      <c r="BN37" s="331"/>
      <c r="BO37" s="331"/>
      <c r="BP37" s="332"/>
      <c r="BQ37" s="330"/>
      <c r="BR37" s="331"/>
      <c r="BS37" s="331"/>
      <c r="BT37" s="332"/>
    </row>
    <row r="38" spans="2:72 16384:16384" s="326" customFormat="1" x14ac:dyDescent="0.25">
      <c r="B38" s="327"/>
      <c r="C38" s="333"/>
      <c r="D38" s="334" t="s">
        <v>190</v>
      </c>
      <c r="E38" s="335">
        <f t="shared" ref="E38:AN38" si="25">SUM(E18,E22,)</f>
        <v>0</v>
      </c>
      <c r="F38" s="336">
        <f t="shared" si="25"/>
        <v>0</v>
      </c>
      <c r="G38" s="336">
        <f t="shared" si="25"/>
        <v>0</v>
      </c>
      <c r="H38" s="337">
        <f t="shared" si="25"/>
        <v>0</v>
      </c>
      <c r="I38" s="338">
        <f t="shared" si="25"/>
        <v>0</v>
      </c>
      <c r="J38" s="336">
        <f t="shared" si="25"/>
        <v>0</v>
      </c>
      <c r="K38" s="336">
        <f t="shared" si="25"/>
        <v>0</v>
      </c>
      <c r="L38" s="337">
        <f t="shared" si="25"/>
        <v>0</v>
      </c>
      <c r="M38" s="338">
        <f t="shared" si="25"/>
        <v>142800</v>
      </c>
      <c r="N38" s="336">
        <f t="shared" si="25"/>
        <v>142800</v>
      </c>
      <c r="O38" s="336">
        <f t="shared" si="25"/>
        <v>142800</v>
      </c>
      <c r="P38" s="337">
        <f t="shared" si="25"/>
        <v>142800</v>
      </c>
      <c r="Q38" s="338">
        <f t="shared" si="25"/>
        <v>144942</v>
      </c>
      <c r="R38" s="336">
        <f t="shared" si="25"/>
        <v>144942</v>
      </c>
      <c r="S38" s="336">
        <f t="shared" si="25"/>
        <v>144942</v>
      </c>
      <c r="T38" s="337">
        <f t="shared" si="25"/>
        <v>144942</v>
      </c>
      <c r="U38" s="338">
        <f t="shared" si="25"/>
        <v>147116.12999999995</v>
      </c>
      <c r="V38" s="336">
        <f t="shared" si="25"/>
        <v>147116.12999999995</v>
      </c>
      <c r="W38" s="336">
        <f t="shared" si="25"/>
        <v>147116.12999999995</v>
      </c>
      <c r="X38" s="337">
        <f t="shared" si="25"/>
        <v>147116.12999999995</v>
      </c>
      <c r="Y38" s="338">
        <f t="shared" si="25"/>
        <v>149322.87194999994</v>
      </c>
      <c r="Z38" s="336">
        <f t="shared" si="25"/>
        <v>149322.87194999994</v>
      </c>
      <c r="AA38" s="336">
        <f t="shared" si="25"/>
        <v>149322.87194999994</v>
      </c>
      <c r="AB38" s="337">
        <f t="shared" si="25"/>
        <v>149322.87194999994</v>
      </c>
      <c r="AC38" s="338">
        <f t="shared" si="25"/>
        <v>151562.71502924993</v>
      </c>
      <c r="AD38" s="336">
        <f t="shared" si="25"/>
        <v>151562.71502924993</v>
      </c>
      <c r="AE38" s="336">
        <f t="shared" si="25"/>
        <v>151562.71502924993</v>
      </c>
      <c r="AF38" s="337">
        <f t="shared" si="25"/>
        <v>151562.71502924993</v>
      </c>
      <c r="AG38" s="338">
        <f t="shared" si="25"/>
        <v>153836.15575468866</v>
      </c>
      <c r="AH38" s="336">
        <f t="shared" si="25"/>
        <v>153836.15575468866</v>
      </c>
      <c r="AI38" s="336">
        <f t="shared" si="25"/>
        <v>153836.15575468866</v>
      </c>
      <c r="AJ38" s="337">
        <f t="shared" si="25"/>
        <v>153836.15575468866</v>
      </c>
      <c r="AK38" s="338">
        <f t="shared" si="25"/>
        <v>156143.69809100893</v>
      </c>
      <c r="AL38" s="336">
        <f t="shared" si="25"/>
        <v>156143.69809100893</v>
      </c>
      <c r="AM38" s="336">
        <f t="shared" si="25"/>
        <v>156143.69809100893</v>
      </c>
      <c r="AN38" s="337">
        <f t="shared" si="25"/>
        <v>156143.69809100893</v>
      </c>
      <c r="AO38" s="335">
        <f>SUM(AO18,AO22)</f>
        <v>158485.85356237405</v>
      </c>
      <c r="AP38" s="336">
        <f t="shared" ref="AP38:BT38" si="26">SUM(AP18,AP22,)</f>
        <v>158485.85356237405</v>
      </c>
      <c r="AQ38" s="336">
        <f t="shared" si="26"/>
        <v>158485.85356237405</v>
      </c>
      <c r="AR38" s="337">
        <f t="shared" si="26"/>
        <v>158485.85356237405</v>
      </c>
      <c r="AS38" s="338">
        <f t="shared" si="26"/>
        <v>160863.14136580966</v>
      </c>
      <c r="AT38" s="336">
        <f t="shared" si="26"/>
        <v>160863.14136580966</v>
      </c>
      <c r="AU38" s="336">
        <f t="shared" si="26"/>
        <v>160863.14136580966</v>
      </c>
      <c r="AV38" s="337">
        <f t="shared" si="26"/>
        <v>160863.14136580966</v>
      </c>
      <c r="AW38" s="338">
        <f t="shared" si="26"/>
        <v>163276.08848629677</v>
      </c>
      <c r="AX38" s="336">
        <f t="shared" si="26"/>
        <v>163276.08848629677</v>
      </c>
      <c r="AY38" s="336">
        <f t="shared" si="26"/>
        <v>163276.08848629677</v>
      </c>
      <c r="AZ38" s="337">
        <f t="shared" si="26"/>
        <v>163276.08848629677</v>
      </c>
      <c r="BA38" s="338">
        <f t="shared" si="26"/>
        <v>165725.2298135912</v>
      </c>
      <c r="BB38" s="336">
        <f t="shared" si="26"/>
        <v>165725.2298135912</v>
      </c>
      <c r="BC38" s="336">
        <f t="shared" si="26"/>
        <v>165725.2298135912</v>
      </c>
      <c r="BD38" s="337">
        <f t="shared" si="26"/>
        <v>165725.2298135912</v>
      </c>
      <c r="BE38" s="338">
        <f t="shared" si="26"/>
        <v>168211.10826079507</v>
      </c>
      <c r="BF38" s="336">
        <f t="shared" si="26"/>
        <v>168211.10826079507</v>
      </c>
      <c r="BG38" s="336">
        <f t="shared" si="26"/>
        <v>168211.10826079507</v>
      </c>
      <c r="BH38" s="337">
        <f t="shared" si="26"/>
        <v>168211.10826079507</v>
      </c>
      <c r="BI38" s="338">
        <f t="shared" si="26"/>
        <v>170734.27488470695</v>
      </c>
      <c r="BJ38" s="336">
        <f t="shared" si="26"/>
        <v>170734.27488470695</v>
      </c>
      <c r="BK38" s="336">
        <f t="shared" si="26"/>
        <v>170734.27488470695</v>
      </c>
      <c r="BL38" s="337">
        <f t="shared" si="26"/>
        <v>170734.27488470695</v>
      </c>
      <c r="BM38" s="338">
        <f t="shared" si="26"/>
        <v>170734.27488470695</v>
      </c>
      <c r="BN38" s="336">
        <f t="shared" si="26"/>
        <v>170734.27488470695</v>
      </c>
      <c r="BO38" s="336">
        <f t="shared" si="26"/>
        <v>170734.27488470695</v>
      </c>
      <c r="BP38" s="337">
        <f t="shared" si="26"/>
        <v>170734.27488470695</v>
      </c>
      <c r="BQ38" s="338">
        <f t="shared" si="26"/>
        <v>170734.27488470695</v>
      </c>
      <c r="BR38" s="336">
        <f t="shared" si="26"/>
        <v>170734.27488470695</v>
      </c>
      <c r="BS38" s="336">
        <f t="shared" si="26"/>
        <v>170734.27488470695</v>
      </c>
      <c r="BT38" s="337">
        <f t="shared" si="26"/>
        <v>170734.27488470695</v>
      </c>
    </row>
    <row r="39" spans="2:72 16384:16384" s="339" customFormat="1" x14ac:dyDescent="0.25">
      <c r="B39" s="340"/>
      <c r="C39" s="341"/>
      <c r="D39" s="334" t="s">
        <v>191</v>
      </c>
      <c r="E39" s="342"/>
      <c r="F39" s="343"/>
      <c r="G39" s="343"/>
      <c r="H39" s="344">
        <f>+H19</f>
        <v>0</v>
      </c>
      <c r="I39" s="342"/>
      <c r="J39" s="343"/>
      <c r="K39" s="343"/>
      <c r="L39" s="344">
        <f>+L19</f>
        <v>0</v>
      </c>
      <c r="M39" s="342"/>
      <c r="N39" s="343"/>
      <c r="O39" s="343"/>
      <c r="P39" s="344">
        <f>+P19</f>
        <v>31250</v>
      </c>
      <c r="Q39" s="342"/>
      <c r="R39" s="343"/>
      <c r="S39" s="343"/>
      <c r="T39" s="344">
        <f>+T19</f>
        <v>32500</v>
      </c>
      <c r="U39" s="342"/>
      <c r="V39" s="343"/>
      <c r="W39" s="343"/>
      <c r="X39" s="344">
        <f>+X19</f>
        <v>33800</v>
      </c>
      <c r="Y39" s="342"/>
      <c r="Z39" s="343"/>
      <c r="AA39" s="343"/>
      <c r="AB39" s="344">
        <f>+AB19</f>
        <v>35152</v>
      </c>
      <c r="AC39" s="342"/>
      <c r="AD39" s="343"/>
      <c r="AE39" s="343"/>
      <c r="AF39" s="344">
        <f>+AF19</f>
        <v>36558.080000000002</v>
      </c>
      <c r="AG39" s="342"/>
      <c r="AH39" s="343"/>
      <c r="AI39" s="343"/>
      <c r="AJ39" s="344">
        <f>+AJ19</f>
        <v>38020.403200000001</v>
      </c>
      <c r="AK39" s="342"/>
      <c r="AL39" s="343"/>
      <c r="AM39" s="343"/>
      <c r="AN39" s="344">
        <f>+AN19</f>
        <v>39541.219327999999</v>
      </c>
      <c r="AO39" s="342"/>
      <c r="AP39" s="343"/>
      <c r="AQ39" s="343"/>
      <c r="AR39" s="344">
        <f>+AR19</f>
        <v>41122.868101120002</v>
      </c>
      <c r="AS39" s="342"/>
      <c r="AT39" s="343"/>
      <c r="AU39" s="343"/>
      <c r="AV39" s="344">
        <f>+AV19</f>
        <v>42767.782825164802</v>
      </c>
      <c r="AW39" s="342"/>
      <c r="AX39" s="343"/>
      <c r="AY39" s="343"/>
      <c r="AZ39" s="344">
        <f>+AZ19</f>
        <v>44478.494138171394</v>
      </c>
      <c r="BA39" s="342"/>
      <c r="BB39" s="343"/>
      <c r="BC39" s="343"/>
      <c r="BD39" s="344">
        <f>+BD19</f>
        <v>46257.633903698254</v>
      </c>
      <c r="BE39" s="342"/>
      <c r="BF39" s="343"/>
      <c r="BG39" s="343"/>
      <c r="BH39" s="344">
        <f>+BH19</f>
        <v>48107.939259846185</v>
      </c>
      <c r="BI39" s="342"/>
      <c r="BJ39" s="343"/>
      <c r="BK39" s="343"/>
      <c r="BL39" s="344">
        <f>+BL19</f>
        <v>50032.256830240032</v>
      </c>
      <c r="BM39" s="342"/>
      <c r="BN39" s="343"/>
      <c r="BO39" s="343"/>
      <c r="BP39" s="344">
        <f t="shared" ref="BP39:BT39" si="27">+BP19</f>
        <v>52033.547103449637</v>
      </c>
      <c r="BQ39" s="342"/>
      <c r="BR39" s="343"/>
      <c r="BS39" s="343"/>
      <c r="BT39" s="344">
        <f t="shared" ref="BT39" si="28">+BT19</f>
        <v>54114.888987587619</v>
      </c>
      <c r="XFD39" s="326"/>
    </row>
    <row r="40" spans="2:72 16384:16384" s="339" customFormat="1" x14ac:dyDescent="0.25">
      <c r="B40" s="340"/>
      <c r="C40" s="341"/>
      <c r="D40" s="334" t="s">
        <v>192</v>
      </c>
      <c r="E40" s="342">
        <f t="shared" ref="E40:AJ40" si="29">SUM(E20)</f>
        <v>0</v>
      </c>
      <c r="F40" s="343">
        <f t="shared" si="29"/>
        <v>0</v>
      </c>
      <c r="G40" s="343">
        <f t="shared" si="29"/>
        <v>0</v>
      </c>
      <c r="H40" s="344">
        <f t="shared" si="29"/>
        <v>0</v>
      </c>
      <c r="I40" s="342">
        <f t="shared" si="29"/>
        <v>0</v>
      </c>
      <c r="J40" s="343">
        <f t="shared" si="29"/>
        <v>0</v>
      </c>
      <c r="K40" s="343">
        <f t="shared" si="29"/>
        <v>0</v>
      </c>
      <c r="L40" s="344">
        <f t="shared" si="29"/>
        <v>0</v>
      </c>
      <c r="M40" s="342">
        <f t="shared" si="29"/>
        <v>7140</v>
      </c>
      <c r="N40" s="343">
        <f t="shared" si="29"/>
        <v>7140</v>
      </c>
      <c r="O40" s="343">
        <f t="shared" si="29"/>
        <v>7140</v>
      </c>
      <c r="P40" s="344">
        <f t="shared" si="29"/>
        <v>7140</v>
      </c>
      <c r="Q40" s="342">
        <f t="shared" si="29"/>
        <v>7247.0999999999995</v>
      </c>
      <c r="R40" s="343">
        <f t="shared" si="29"/>
        <v>7247.0999999999995</v>
      </c>
      <c r="S40" s="343">
        <f t="shared" si="29"/>
        <v>7247.0999999999995</v>
      </c>
      <c r="T40" s="344">
        <f t="shared" si="29"/>
        <v>7247.0999999999995</v>
      </c>
      <c r="U40" s="342">
        <f t="shared" si="29"/>
        <v>7355.8064999999979</v>
      </c>
      <c r="V40" s="343">
        <f t="shared" si="29"/>
        <v>7355.8064999999979</v>
      </c>
      <c r="W40" s="343">
        <f t="shared" si="29"/>
        <v>7355.8064999999979</v>
      </c>
      <c r="X40" s="344">
        <f t="shared" si="29"/>
        <v>7355.8064999999979</v>
      </c>
      <c r="Y40" s="342">
        <f t="shared" si="29"/>
        <v>7466.1435974999968</v>
      </c>
      <c r="Z40" s="343">
        <f t="shared" si="29"/>
        <v>7466.1435974999968</v>
      </c>
      <c r="AA40" s="343">
        <f t="shared" si="29"/>
        <v>7466.1435974999968</v>
      </c>
      <c r="AB40" s="344">
        <f t="shared" si="29"/>
        <v>7466.1435974999968</v>
      </c>
      <c r="AC40" s="342">
        <f t="shared" si="29"/>
        <v>7578.135751462496</v>
      </c>
      <c r="AD40" s="343">
        <f t="shared" si="29"/>
        <v>7578.135751462496</v>
      </c>
      <c r="AE40" s="343">
        <f t="shared" si="29"/>
        <v>7578.135751462496</v>
      </c>
      <c r="AF40" s="344">
        <f t="shared" si="29"/>
        <v>7578.135751462496</v>
      </c>
      <c r="AG40" s="342">
        <f t="shared" si="29"/>
        <v>7691.8077877344322</v>
      </c>
      <c r="AH40" s="343">
        <f t="shared" si="29"/>
        <v>7691.8077877344322</v>
      </c>
      <c r="AI40" s="343">
        <f t="shared" si="29"/>
        <v>7691.8077877344322</v>
      </c>
      <c r="AJ40" s="344">
        <f t="shared" si="29"/>
        <v>7691.8077877344322</v>
      </c>
      <c r="AK40" s="342">
        <f t="shared" ref="AK40:BT40" si="30">SUM(AK20)</f>
        <v>7807.1849045504478</v>
      </c>
      <c r="AL40" s="343">
        <f t="shared" si="30"/>
        <v>7807.1849045504478</v>
      </c>
      <c r="AM40" s="343">
        <f t="shared" si="30"/>
        <v>7807.1849045504478</v>
      </c>
      <c r="AN40" s="344">
        <f t="shared" si="30"/>
        <v>7807.1849045504478</v>
      </c>
      <c r="AO40" s="342">
        <f t="shared" si="30"/>
        <v>7924.2926781187025</v>
      </c>
      <c r="AP40" s="343">
        <f t="shared" si="30"/>
        <v>7924.2926781187025</v>
      </c>
      <c r="AQ40" s="343">
        <f t="shared" si="30"/>
        <v>7924.2926781187025</v>
      </c>
      <c r="AR40" s="344">
        <f t="shared" si="30"/>
        <v>7924.2926781187025</v>
      </c>
      <c r="AS40" s="342">
        <f t="shared" si="30"/>
        <v>8043.157068290483</v>
      </c>
      <c r="AT40" s="343">
        <f t="shared" si="30"/>
        <v>8043.157068290483</v>
      </c>
      <c r="AU40" s="343">
        <f t="shared" si="30"/>
        <v>8043.157068290483</v>
      </c>
      <c r="AV40" s="344">
        <f t="shared" si="30"/>
        <v>8043.157068290483</v>
      </c>
      <c r="AW40" s="342">
        <f t="shared" si="30"/>
        <v>8163.8044243148388</v>
      </c>
      <c r="AX40" s="343">
        <f t="shared" si="30"/>
        <v>8163.8044243148388</v>
      </c>
      <c r="AY40" s="343">
        <f t="shared" si="30"/>
        <v>8163.8044243148388</v>
      </c>
      <c r="AZ40" s="344">
        <f t="shared" si="30"/>
        <v>8163.8044243148388</v>
      </c>
      <c r="BA40" s="342">
        <f t="shared" si="30"/>
        <v>8286.2614906795607</v>
      </c>
      <c r="BB40" s="343">
        <f t="shared" si="30"/>
        <v>8286.2614906795607</v>
      </c>
      <c r="BC40" s="343">
        <f t="shared" si="30"/>
        <v>8286.2614906795607</v>
      </c>
      <c r="BD40" s="344">
        <f t="shared" si="30"/>
        <v>8286.2614906795607</v>
      </c>
      <c r="BE40" s="342">
        <f t="shared" si="30"/>
        <v>8410.5554130397522</v>
      </c>
      <c r="BF40" s="343">
        <f t="shared" si="30"/>
        <v>8410.5554130397522</v>
      </c>
      <c r="BG40" s="343">
        <f t="shared" si="30"/>
        <v>8410.5554130397522</v>
      </c>
      <c r="BH40" s="344">
        <f t="shared" si="30"/>
        <v>8410.5554130397522</v>
      </c>
      <c r="BI40" s="342">
        <f t="shared" si="30"/>
        <v>8536.7137442353469</v>
      </c>
      <c r="BJ40" s="343">
        <f t="shared" si="30"/>
        <v>8536.7137442353469</v>
      </c>
      <c r="BK40" s="343">
        <f t="shared" si="30"/>
        <v>8536.7137442353469</v>
      </c>
      <c r="BL40" s="344">
        <f t="shared" si="30"/>
        <v>8536.7137442353469</v>
      </c>
      <c r="BM40" s="342">
        <f t="shared" si="30"/>
        <v>8536.7137442353469</v>
      </c>
      <c r="BN40" s="343">
        <f t="shared" si="30"/>
        <v>8536.7137442353469</v>
      </c>
      <c r="BO40" s="343">
        <f t="shared" si="30"/>
        <v>8536.7137442353469</v>
      </c>
      <c r="BP40" s="344">
        <f t="shared" si="30"/>
        <v>8536.7137442353469</v>
      </c>
      <c r="BQ40" s="342">
        <f t="shared" si="30"/>
        <v>8536.7137442353469</v>
      </c>
      <c r="BR40" s="343">
        <f t="shared" si="30"/>
        <v>8536.7137442353469</v>
      </c>
      <c r="BS40" s="343">
        <f t="shared" si="30"/>
        <v>8536.7137442353469</v>
      </c>
      <c r="BT40" s="344">
        <f t="shared" si="30"/>
        <v>8536.7137442353469</v>
      </c>
    </row>
    <row r="41" spans="2:72 16384:16384" s="339" customFormat="1" ht="15.75" customHeight="1" thickBot="1" x14ac:dyDescent="0.3">
      <c r="B41" s="340"/>
      <c r="C41" s="474"/>
      <c r="D41" s="334" t="s">
        <v>193</v>
      </c>
      <c r="E41" s="362"/>
      <c r="F41" s="363"/>
      <c r="G41" s="363"/>
      <c r="H41" s="364"/>
      <c r="I41" s="362"/>
      <c r="J41" s="363"/>
      <c r="K41" s="363"/>
      <c r="L41" s="364"/>
      <c r="M41" s="362"/>
      <c r="N41" s="363"/>
      <c r="O41" s="363"/>
      <c r="P41" s="364"/>
      <c r="Q41" s="362"/>
      <c r="R41" s="363"/>
      <c r="S41" s="363"/>
      <c r="T41" s="364"/>
      <c r="U41" s="362"/>
      <c r="V41" s="363"/>
      <c r="W41" s="363"/>
      <c r="X41" s="364"/>
      <c r="Y41" s="362"/>
      <c r="Z41" s="363"/>
      <c r="AA41" s="363"/>
      <c r="AB41" s="364"/>
      <c r="AC41" s="362"/>
      <c r="AD41" s="363"/>
      <c r="AE41" s="363"/>
      <c r="AF41" s="364"/>
      <c r="AG41" s="362"/>
      <c r="AH41" s="363"/>
      <c r="AI41" s="363"/>
      <c r="AJ41" s="364"/>
      <c r="AK41" s="362"/>
      <c r="AL41" s="363"/>
      <c r="AM41" s="363"/>
      <c r="AN41" s="364"/>
      <c r="AO41" s="362"/>
      <c r="AP41" s="363"/>
      <c r="AQ41" s="363"/>
      <c r="AR41" s="364"/>
      <c r="AS41" s="362"/>
      <c r="AT41" s="363"/>
      <c r="AU41" s="363"/>
      <c r="AV41" s="364"/>
      <c r="AW41" s="362"/>
      <c r="AX41" s="363"/>
      <c r="AY41" s="363"/>
      <c r="AZ41" s="364"/>
      <c r="BA41" s="362"/>
      <c r="BB41" s="363"/>
      <c r="BC41" s="363"/>
      <c r="BD41" s="364"/>
      <c r="BE41" s="362"/>
      <c r="BF41" s="363"/>
      <c r="BG41" s="363"/>
      <c r="BH41" s="364"/>
      <c r="BI41" s="362"/>
      <c r="BJ41" s="363"/>
      <c r="BK41" s="363"/>
      <c r="BL41" s="364"/>
      <c r="BM41" s="362"/>
      <c r="BN41" s="363"/>
      <c r="BO41" s="363"/>
      <c r="BP41" s="364"/>
      <c r="BQ41" s="362"/>
      <c r="BR41" s="363"/>
      <c r="BS41" s="363"/>
      <c r="BT41" s="364"/>
    </row>
    <row r="42" spans="2:72 16384:16384" s="345" customFormat="1" ht="16.5" customHeight="1" thickBot="1" x14ac:dyDescent="0.3">
      <c r="B42" s="498" t="s">
        <v>194</v>
      </c>
      <c r="C42" s="498"/>
      <c r="D42" s="498"/>
      <c r="E42" s="346">
        <f t="shared" ref="E42:AJ42" si="31">SUM(E38:E41)</f>
        <v>0</v>
      </c>
      <c r="F42" s="347">
        <f t="shared" si="31"/>
        <v>0</v>
      </c>
      <c r="G42" s="347">
        <f t="shared" si="31"/>
        <v>0</v>
      </c>
      <c r="H42" s="348">
        <f t="shared" si="31"/>
        <v>0</v>
      </c>
      <c r="I42" s="346">
        <f t="shared" si="31"/>
        <v>0</v>
      </c>
      <c r="J42" s="347">
        <f t="shared" si="31"/>
        <v>0</v>
      </c>
      <c r="K42" s="347">
        <f t="shared" si="31"/>
        <v>0</v>
      </c>
      <c r="L42" s="348">
        <f t="shared" si="31"/>
        <v>0</v>
      </c>
      <c r="M42" s="346">
        <f t="shared" si="31"/>
        <v>149940</v>
      </c>
      <c r="N42" s="347">
        <f t="shared" si="31"/>
        <v>149940</v>
      </c>
      <c r="O42" s="347">
        <f t="shared" si="31"/>
        <v>149940</v>
      </c>
      <c r="P42" s="348">
        <f t="shared" si="31"/>
        <v>181190</v>
      </c>
      <c r="Q42" s="346">
        <f t="shared" si="31"/>
        <v>152189.1</v>
      </c>
      <c r="R42" s="347">
        <f t="shared" si="31"/>
        <v>152189.1</v>
      </c>
      <c r="S42" s="347">
        <f t="shared" si="31"/>
        <v>152189.1</v>
      </c>
      <c r="T42" s="348">
        <f t="shared" si="31"/>
        <v>184689.1</v>
      </c>
      <c r="U42" s="346">
        <f t="shared" si="31"/>
        <v>154471.93649999995</v>
      </c>
      <c r="V42" s="347">
        <f t="shared" si="31"/>
        <v>154471.93649999995</v>
      </c>
      <c r="W42" s="347">
        <f t="shared" si="31"/>
        <v>154471.93649999995</v>
      </c>
      <c r="X42" s="348">
        <f t="shared" si="31"/>
        <v>188271.93649999995</v>
      </c>
      <c r="Y42" s="346">
        <f t="shared" si="31"/>
        <v>156789.01554749993</v>
      </c>
      <c r="Z42" s="347">
        <f t="shared" si="31"/>
        <v>156789.01554749993</v>
      </c>
      <c r="AA42" s="347">
        <f t="shared" si="31"/>
        <v>156789.01554749993</v>
      </c>
      <c r="AB42" s="348">
        <f t="shared" si="31"/>
        <v>191941.01554749993</v>
      </c>
      <c r="AC42" s="346">
        <f t="shared" si="31"/>
        <v>159140.85078071241</v>
      </c>
      <c r="AD42" s="347">
        <f t="shared" si="31"/>
        <v>159140.85078071241</v>
      </c>
      <c r="AE42" s="347">
        <f t="shared" si="31"/>
        <v>159140.85078071241</v>
      </c>
      <c r="AF42" s="348">
        <f t="shared" si="31"/>
        <v>195698.9307807124</v>
      </c>
      <c r="AG42" s="346">
        <f t="shared" si="31"/>
        <v>161527.96354242309</v>
      </c>
      <c r="AH42" s="347">
        <f t="shared" si="31"/>
        <v>161527.96354242309</v>
      </c>
      <c r="AI42" s="347">
        <f t="shared" si="31"/>
        <v>161527.96354242309</v>
      </c>
      <c r="AJ42" s="348">
        <f t="shared" si="31"/>
        <v>199548.3667424231</v>
      </c>
      <c r="AK42" s="346">
        <f t="shared" ref="AK42:BT42" si="32">SUM(AK38:AK41)</f>
        <v>163950.88299555937</v>
      </c>
      <c r="AL42" s="347">
        <f t="shared" si="32"/>
        <v>163950.88299555937</v>
      </c>
      <c r="AM42" s="347">
        <f t="shared" si="32"/>
        <v>163950.88299555937</v>
      </c>
      <c r="AN42" s="348">
        <f t="shared" si="32"/>
        <v>203492.10232355937</v>
      </c>
      <c r="AO42" s="346">
        <f t="shared" si="32"/>
        <v>166410.14624049276</v>
      </c>
      <c r="AP42" s="347">
        <f t="shared" si="32"/>
        <v>166410.14624049276</v>
      </c>
      <c r="AQ42" s="347">
        <f t="shared" si="32"/>
        <v>166410.14624049276</v>
      </c>
      <c r="AR42" s="348">
        <f t="shared" si="32"/>
        <v>207533.01434161275</v>
      </c>
      <c r="AS42" s="346">
        <f t="shared" si="32"/>
        <v>168906.29843410014</v>
      </c>
      <c r="AT42" s="347">
        <f t="shared" si="32"/>
        <v>168906.29843410014</v>
      </c>
      <c r="AU42" s="347">
        <f t="shared" si="32"/>
        <v>168906.29843410014</v>
      </c>
      <c r="AV42" s="348">
        <f t="shared" si="32"/>
        <v>211674.08125926493</v>
      </c>
      <c r="AW42" s="346">
        <f t="shared" si="32"/>
        <v>171439.89291061161</v>
      </c>
      <c r="AX42" s="347">
        <f t="shared" si="32"/>
        <v>171439.89291061161</v>
      </c>
      <c r="AY42" s="347">
        <f t="shared" si="32"/>
        <v>171439.89291061161</v>
      </c>
      <c r="AZ42" s="348">
        <f t="shared" si="32"/>
        <v>215918.38704878301</v>
      </c>
      <c r="BA42" s="346">
        <f t="shared" si="32"/>
        <v>174011.49130427075</v>
      </c>
      <c r="BB42" s="347">
        <f t="shared" si="32"/>
        <v>174011.49130427075</v>
      </c>
      <c r="BC42" s="347">
        <f t="shared" si="32"/>
        <v>174011.49130427075</v>
      </c>
      <c r="BD42" s="348">
        <f t="shared" si="32"/>
        <v>220269.12520796902</v>
      </c>
      <c r="BE42" s="346">
        <f t="shared" si="32"/>
        <v>176621.66367383482</v>
      </c>
      <c r="BF42" s="347">
        <f t="shared" si="32"/>
        <v>176621.66367383482</v>
      </c>
      <c r="BG42" s="347">
        <f t="shared" si="32"/>
        <v>176621.66367383482</v>
      </c>
      <c r="BH42" s="348">
        <f t="shared" si="32"/>
        <v>224729.60293368099</v>
      </c>
      <c r="BI42" s="346">
        <f t="shared" si="32"/>
        <v>179270.98862894229</v>
      </c>
      <c r="BJ42" s="347">
        <f t="shared" si="32"/>
        <v>179270.98862894229</v>
      </c>
      <c r="BK42" s="347">
        <f t="shared" si="32"/>
        <v>179270.98862894229</v>
      </c>
      <c r="BL42" s="348">
        <f t="shared" si="32"/>
        <v>229303.2454591823</v>
      </c>
      <c r="BM42" s="346">
        <f t="shared" si="32"/>
        <v>179270.98862894229</v>
      </c>
      <c r="BN42" s="347">
        <f t="shared" si="32"/>
        <v>179270.98862894229</v>
      </c>
      <c r="BO42" s="347">
        <f t="shared" si="32"/>
        <v>179270.98862894229</v>
      </c>
      <c r="BP42" s="348">
        <f t="shared" si="32"/>
        <v>231304.53573239193</v>
      </c>
      <c r="BQ42" s="346">
        <f t="shared" si="32"/>
        <v>179270.98862894229</v>
      </c>
      <c r="BR42" s="347">
        <f t="shared" si="32"/>
        <v>179270.98862894229</v>
      </c>
      <c r="BS42" s="347">
        <f t="shared" si="32"/>
        <v>179270.98862894229</v>
      </c>
      <c r="BT42" s="348">
        <f t="shared" si="32"/>
        <v>233385.87761652991</v>
      </c>
    </row>
    <row r="43" spans="2:72 16384:16384" s="345" customFormat="1" ht="15.75" customHeight="1" thickBot="1" x14ac:dyDescent="0.3">
      <c r="B43" s="499" t="s">
        <v>195</v>
      </c>
      <c r="C43" s="499"/>
      <c r="D43" s="499"/>
      <c r="E43" s="342">
        <f t="shared" ref="E43:AJ43" si="33">(E38++E39+E40)*0.2</f>
        <v>0</v>
      </c>
      <c r="F43" s="343">
        <f t="shared" si="33"/>
        <v>0</v>
      </c>
      <c r="G43" s="343">
        <f t="shared" si="33"/>
        <v>0</v>
      </c>
      <c r="H43" s="344">
        <f t="shared" si="33"/>
        <v>0</v>
      </c>
      <c r="I43" s="342">
        <f t="shared" si="33"/>
        <v>0</v>
      </c>
      <c r="J43" s="343">
        <f t="shared" si="33"/>
        <v>0</v>
      </c>
      <c r="K43" s="343">
        <f t="shared" si="33"/>
        <v>0</v>
      </c>
      <c r="L43" s="344">
        <f t="shared" si="33"/>
        <v>0</v>
      </c>
      <c r="M43" s="342">
        <f t="shared" si="33"/>
        <v>29988</v>
      </c>
      <c r="N43" s="343">
        <f t="shared" si="33"/>
        <v>29988</v>
      </c>
      <c r="O43" s="343">
        <f t="shared" si="33"/>
        <v>29988</v>
      </c>
      <c r="P43" s="344">
        <f t="shared" si="33"/>
        <v>36238</v>
      </c>
      <c r="Q43" s="342">
        <f t="shared" si="33"/>
        <v>30437.820000000003</v>
      </c>
      <c r="R43" s="343">
        <f t="shared" si="33"/>
        <v>30437.820000000003</v>
      </c>
      <c r="S43" s="343">
        <f t="shared" si="33"/>
        <v>30437.820000000003</v>
      </c>
      <c r="T43" s="344">
        <f t="shared" si="33"/>
        <v>36937.82</v>
      </c>
      <c r="U43" s="342">
        <f t="shared" si="33"/>
        <v>30894.387299999991</v>
      </c>
      <c r="V43" s="343">
        <f t="shared" si="33"/>
        <v>30894.387299999991</v>
      </c>
      <c r="W43" s="343">
        <f t="shared" si="33"/>
        <v>30894.387299999991</v>
      </c>
      <c r="X43" s="344">
        <f t="shared" si="33"/>
        <v>37654.387299999995</v>
      </c>
      <c r="Y43" s="342">
        <f t="shared" si="33"/>
        <v>31357.80310949999</v>
      </c>
      <c r="Z43" s="343">
        <f t="shared" si="33"/>
        <v>31357.80310949999</v>
      </c>
      <c r="AA43" s="343">
        <f t="shared" si="33"/>
        <v>31357.80310949999</v>
      </c>
      <c r="AB43" s="344">
        <f t="shared" si="33"/>
        <v>38388.203109499991</v>
      </c>
      <c r="AC43" s="342">
        <f t="shared" si="33"/>
        <v>31828.170156142485</v>
      </c>
      <c r="AD43" s="343">
        <f t="shared" si="33"/>
        <v>31828.170156142485</v>
      </c>
      <c r="AE43" s="343">
        <f t="shared" si="33"/>
        <v>31828.170156142485</v>
      </c>
      <c r="AF43" s="344">
        <f t="shared" si="33"/>
        <v>39139.78615614248</v>
      </c>
      <c r="AG43" s="342">
        <f t="shared" si="33"/>
        <v>32305.592708484619</v>
      </c>
      <c r="AH43" s="343">
        <f t="shared" si="33"/>
        <v>32305.592708484619</v>
      </c>
      <c r="AI43" s="343">
        <f t="shared" si="33"/>
        <v>32305.592708484619</v>
      </c>
      <c r="AJ43" s="344">
        <f t="shared" si="33"/>
        <v>39909.673348484619</v>
      </c>
      <c r="AK43" s="342">
        <f t="shared" ref="AK43:BT43" si="34">(AK38++AK39+AK40)*0.2</f>
        <v>32790.176599111874</v>
      </c>
      <c r="AL43" s="343">
        <f t="shared" si="34"/>
        <v>32790.176599111874</v>
      </c>
      <c r="AM43" s="343">
        <f t="shared" si="34"/>
        <v>32790.176599111874</v>
      </c>
      <c r="AN43" s="344">
        <f t="shared" si="34"/>
        <v>40698.420464711875</v>
      </c>
      <c r="AO43" s="342">
        <f t="shared" si="34"/>
        <v>33282.029248098552</v>
      </c>
      <c r="AP43" s="343">
        <f t="shared" si="34"/>
        <v>33282.029248098552</v>
      </c>
      <c r="AQ43" s="343">
        <f t="shared" si="34"/>
        <v>33282.029248098552</v>
      </c>
      <c r="AR43" s="344">
        <f t="shared" si="34"/>
        <v>41506.602868322552</v>
      </c>
      <c r="AS43" s="342">
        <f t="shared" si="34"/>
        <v>33781.259686820027</v>
      </c>
      <c r="AT43" s="343">
        <f t="shared" si="34"/>
        <v>33781.259686820027</v>
      </c>
      <c r="AU43" s="343">
        <f t="shared" si="34"/>
        <v>33781.259686820027</v>
      </c>
      <c r="AV43" s="344">
        <f t="shared" si="34"/>
        <v>42334.816251852986</v>
      </c>
      <c r="AW43" s="342">
        <f t="shared" si="34"/>
        <v>34287.978582122327</v>
      </c>
      <c r="AX43" s="343">
        <f t="shared" si="34"/>
        <v>34287.978582122327</v>
      </c>
      <c r="AY43" s="343">
        <f t="shared" si="34"/>
        <v>34287.978582122327</v>
      </c>
      <c r="AZ43" s="344">
        <f t="shared" si="34"/>
        <v>43183.677409756609</v>
      </c>
      <c r="BA43" s="342">
        <f t="shared" si="34"/>
        <v>34802.29826085415</v>
      </c>
      <c r="BB43" s="343">
        <f t="shared" si="34"/>
        <v>34802.29826085415</v>
      </c>
      <c r="BC43" s="343">
        <f t="shared" si="34"/>
        <v>34802.29826085415</v>
      </c>
      <c r="BD43" s="344">
        <f t="shared" si="34"/>
        <v>44053.825041593809</v>
      </c>
      <c r="BE43" s="342">
        <f t="shared" si="34"/>
        <v>35324.332734766962</v>
      </c>
      <c r="BF43" s="343">
        <f t="shared" si="34"/>
        <v>35324.332734766962</v>
      </c>
      <c r="BG43" s="343">
        <f t="shared" si="34"/>
        <v>35324.332734766962</v>
      </c>
      <c r="BH43" s="344">
        <f t="shared" si="34"/>
        <v>44945.920586736203</v>
      </c>
      <c r="BI43" s="342">
        <f t="shared" si="34"/>
        <v>35854.197725788457</v>
      </c>
      <c r="BJ43" s="343">
        <f t="shared" si="34"/>
        <v>35854.197725788457</v>
      </c>
      <c r="BK43" s="343">
        <f t="shared" si="34"/>
        <v>35854.197725788457</v>
      </c>
      <c r="BL43" s="344">
        <f t="shared" si="34"/>
        <v>45860.649091836465</v>
      </c>
      <c r="BM43" s="342">
        <f t="shared" si="34"/>
        <v>35854.197725788457</v>
      </c>
      <c r="BN43" s="343">
        <f t="shared" si="34"/>
        <v>35854.197725788457</v>
      </c>
      <c r="BO43" s="343">
        <f t="shared" si="34"/>
        <v>35854.197725788457</v>
      </c>
      <c r="BP43" s="344">
        <f t="shared" si="34"/>
        <v>46260.907146478392</v>
      </c>
      <c r="BQ43" s="342">
        <f t="shared" si="34"/>
        <v>35854.197725788457</v>
      </c>
      <c r="BR43" s="343">
        <f t="shared" si="34"/>
        <v>35854.197725788457</v>
      </c>
      <c r="BS43" s="343">
        <f t="shared" si="34"/>
        <v>35854.197725788457</v>
      </c>
      <c r="BT43" s="344">
        <f t="shared" si="34"/>
        <v>46677.175523305981</v>
      </c>
    </row>
    <row r="44" spans="2:72 16384:16384" s="345" customFormat="1" ht="15.75" customHeight="1" thickBot="1" x14ac:dyDescent="0.3">
      <c r="B44" s="498" t="s">
        <v>196</v>
      </c>
      <c r="C44" s="498"/>
      <c r="D44" s="498"/>
      <c r="E44" s="346">
        <f t="shared" ref="E44:AJ44" si="35">SUM(E42,E43)</f>
        <v>0</v>
      </c>
      <c r="F44" s="347">
        <f t="shared" si="35"/>
        <v>0</v>
      </c>
      <c r="G44" s="347">
        <f t="shared" si="35"/>
        <v>0</v>
      </c>
      <c r="H44" s="348">
        <f t="shared" si="35"/>
        <v>0</v>
      </c>
      <c r="I44" s="349">
        <f t="shared" si="35"/>
        <v>0</v>
      </c>
      <c r="J44" s="347">
        <f t="shared" si="35"/>
        <v>0</v>
      </c>
      <c r="K44" s="347">
        <f t="shared" si="35"/>
        <v>0</v>
      </c>
      <c r="L44" s="348">
        <f t="shared" si="35"/>
        <v>0</v>
      </c>
      <c r="M44" s="349">
        <f t="shared" si="35"/>
        <v>179928</v>
      </c>
      <c r="N44" s="347">
        <f t="shared" si="35"/>
        <v>179928</v>
      </c>
      <c r="O44" s="347">
        <f t="shared" si="35"/>
        <v>179928</v>
      </c>
      <c r="P44" s="348">
        <f t="shared" si="35"/>
        <v>217428</v>
      </c>
      <c r="Q44" s="349">
        <f t="shared" si="35"/>
        <v>182626.92</v>
      </c>
      <c r="R44" s="347">
        <f t="shared" si="35"/>
        <v>182626.92</v>
      </c>
      <c r="S44" s="347">
        <f t="shared" si="35"/>
        <v>182626.92</v>
      </c>
      <c r="T44" s="348">
        <f t="shared" si="35"/>
        <v>221626.92</v>
      </c>
      <c r="U44" s="349">
        <f t="shared" si="35"/>
        <v>185366.32379999995</v>
      </c>
      <c r="V44" s="347">
        <f t="shared" si="35"/>
        <v>185366.32379999995</v>
      </c>
      <c r="W44" s="347">
        <f t="shared" si="35"/>
        <v>185366.32379999995</v>
      </c>
      <c r="X44" s="348">
        <f t="shared" si="35"/>
        <v>225926.32379999995</v>
      </c>
      <c r="Y44" s="349">
        <f t="shared" si="35"/>
        <v>188146.81865699991</v>
      </c>
      <c r="Z44" s="347">
        <f t="shared" si="35"/>
        <v>188146.81865699991</v>
      </c>
      <c r="AA44" s="347">
        <f t="shared" si="35"/>
        <v>188146.81865699991</v>
      </c>
      <c r="AB44" s="348">
        <f t="shared" si="35"/>
        <v>230329.21865699993</v>
      </c>
      <c r="AC44" s="349">
        <f t="shared" si="35"/>
        <v>190969.02093685488</v>
      </c>
      <c r="AD44" s="347">
        <f t="shared" si="35"/>
        <v>190969.02093685488</v>
      </c>
      <c r="AE44" s="347">
        <f t="shared" si="35"/>
        <v>190969.02093685488</v>
      </c>
      <c r="AF44" s="348">
        <f t="shared" si="35"/>
        <v>234838.71693685488</v>
      </c>
      <c r="AG44" s="349">
        <f t="shared" si="35"/>
        <v>193833.55625090771</v>
      </c>
      <c r="AH44" s="347">
        <f t="shared" si="35"/>
        <v>193833.55625090771</v>
      </c>
      <c r="AI44" s="347">
        <f t="shared" si="35"/>
        <v>193833.55625090771</v>
      </c>
      <c r="AJ44" s="348">
        <f t="shared" si="35"/>
        <v>239458.04009090771</v>
      </c>
      <c r="AK44" s="349">
        <f t="shared" ref="AK44:BT44" si="36">SUM(AK42,AK43)</f>
        <v>196741.05959467124</v>
      </c>
      <c r="AL44" s="347">
        <f t="shared" si="36"/>
        <v>196741.05959467124</v>
      </c>
      <c r="AM44" s="347">
        <f t="shared" si="36"/>
        <v>196741.05959467124</v>
      </c>
      <c r="AN44" s="348">
        <f t="shared" si="36"/>
        <v>244190.52278827125</v>
      </c>
      <c r="AO44" s="346">
        <f t="shared" si="36"/>
        <v>199692.17548859131</v>
      </c>
      <c r="AP44" s="347">
        <f t="shared" si="36"/>
        <v>199692.17548859131</v>
      </c>
      <c r="AQ44" s="347">
        <f t="shared" si="36"/>
        <v>199692.17548859131</v>
      </c>
      <c r="AR44" s="348">
        <f t="shared" si="36"/>
        <v>249039.6172099353</v>
      </c>
      <c r="AS44" s="349">
        <f t="shared" si="36"/>
        <v>202687.55812092018</v>
      </c>
      <c r="AT44" s="347">
        <f t="shared" si="36"/>
        <v>202687.55812092018</v>
      </c>
      <c r="AU44" s="347">
        <f t="shared" si="36"/>
        <v>202687.55812092018</v>
      </c>
      <c r="AV44" s="348">
        <f t="shared" si="36"/>
        <v>254008.89751111792</v>
      </c>
      <c r="AW44" s="349">
        <f t="shared" si="36"/>
        <v>205727.87149273395</v>
      </c>
      <c r="AX44" s="347">
        <f t="shared" si="36"/>
        <v>205727.87149273395</v>
      </c>
      <c r="AY44" s="347">
        <f t="shared" si="36"/>
        <v>205727.87149273395</v>
      </c>
      <c r="AZ44" s="348">
        <f t="shared" si="36"/>
        <v>259102.06445853962</v>
      </c>
      <c r="BA44" s="349">
        <f t="shared" si="36"/>
        <v>208813.7895651249</v>
      </c>
      <c r="BB44" s="347">
        <f t="shared" si="36"/>
        <v>208813.7895651249</v>
      </c>
      <c r="BC44" s="347">
        <f t="shared" si="36"/>
        <v>208813.7895651249</v>
      </c>
      <c r="BD44" s="348">
        <f t="shared" si="36"/>
        <v>264322.95024956285</v>
      </c>
      <c r="BE44" s="349">
        <f t="shared" si="36"/>
        <v>211945.99640860179</v>
      </c>
      <c r="BF44" s="347">
        <f t="shared" si="36"/>
        <v>211945.99640860179</v>
      </c>
      <c r="BG44" s="347">
        <f t="shared" si="36"/>
        <v>211945.99640860179</v>
      </c>
      <c r="BH44" s="348">
        <f t="shared" si="36"/>
        <v>269675.52352041716</v>
      </c>
      <c r="BI44" s="349">
        <f t="shared" si="36"/>
        <v>215125.18635473074</v>
      </c>
      <c r="BJ44" s="347">
        <f t="shared" si="36"/>
        <v>215125.18635473074</v>
      </c>
      <c r="BK44" s="347">
        <f t="shared" si="36"/>
        <v>215125.18635473074</v>
      </c>
      <c r="BL44" s="348">
        <f t="shared" si="36"/>
        <v>275163.89455101878</v>
      </c>
      <c r="BM44" s="349">
        <f t="shared" si="36"/>
        <v>215125.18635473074</v>
      </c>
      <c r="BN44" s="347">
        <f t="shared" si="36"/>
        <v>215125.18635473074</v>
      </c>
      <c r="BO44" s="347">
        <f t="shared" si="36"/>
        <v>215125.18635473074</v>
      </c>
      <c r="BP44" s="348">
        <f t="shared" si="36"/>
        <v>277565.44287887029</v>
      </c>
      <c r="BQ44" s="349">
        <f t="shared" si="36"/>
        <v>215125.18635473074</v>
      </c>
      <c r="BR44" s="347">
        <f t="shared" si="36"/>
        <v>215125.18635473074</v>
      </c>
      <c r="BS44" s="347">
        <f t="shared" si="36"/>
        <v>215125.18635473074</v>
      </c>
      <c r="BT44" s="348">
        <f t="shared" si="36"/>
        <v>280063.05313983589</v>
      </c>
    </row>
    <row r="45" spans="2:72 16384:16384" s="345" customFormat="1" ht="15.75" customHeight="1" x14ac:dyDescent="0.25">
      <c r="B45" s="350"/>
      <c r="C45" s="350"/>
      <c r="D45" s="350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Q45" s="339"/>
    </row>
    <row r="46" spans="2:72 16384:16384" s="345" customFormat="1" ht="16.5" customHeight="1" thickBot="1" x14ac:dyDescent="0.3">
      <c r="B46" s="345" t="s">
        <v>197</v>
      </c>
      <c r="D46" s="351"/>
      <c r="E46" s="352">
        <f t="shared" ref="E46:AN46" si="37">E42</f>
        <v>0</v>
      </c>
      <c r="F46" s="352">
        <f t="shared" si="37"/>
        <v>0</v>
      </c>
      <c r="G46" s="352">
        <f t="shared" si="37"/>
        <v>0</v>
      </c>
      <c r="H46" s="352">
        <f t="shared" si="37"/>
        <v>0</v>
      </c>
      <c r="I46" s="352">
        <f t="shared" si="37"/>
        <v>0</v>
      </c>
      <c r="J46" s="352">
        <f t="shared" si="37"/>
        <v>0</v>
      </c>
      <c r="K46" s="352">
        <f t="shared" si="37"/>
        <v>0</v>
      </c>
      <c r="L46" s="352">
        <f t="shared" si="37"/>
        <v>0</v>
      </c>
      <c r="M46" s="352">
        <f t="shared" si="37"/>
        <v>149940</v>
      </c>
      <c r="N46" s="352">
        <f t="shared" si="37"/>
        <v>149940</v>
      </c>
      <c r="O46" s="352">
        <f t="shared" si="37"/>
        <v>149940</v>
      </c>
      <c r="P46" s="352">
        <f t="shared" si="37"/>
        <v>181190</v>
      </c>
      <c r="Q46" s="352">
        <f t="shared" si="37"/>
        <v>152189.1</v>
      </c>
      <c r="R46" s="352">
        <f t="shared" si="37"/>
        <v>152189.1</v>
      </c>
      <c r="S46" s="352">
        <f t="shared" si="37"/>
        <v>152189.1</v>
      </c>
      <c r="T46" s="352">
        <f t="shared" si="37"/>
        <v>184689.1</v>
      </c>
      <c r="U46" s="352">
        <f t="shared" si="37"/>
        <v>154471.93649999995</v>
      </c>
      <c r="V46" s="352">
        <f t="shared" si="37"/>
        <v>154471.93649999995</v>
      </c>
      <c r="W46" s="352">
        <f t="shared" si="37"/>
        <v>154471.93649999995</v>
      </c>
      <c r="X46" s="352">
        <f t="shared" si="37"/>
        <v>188271.93649999995</v>
      </c>
      <c r="Y46" s="352">
        <f t="shared" si="37"/>
        <v>156789.01554749993</v>
      </c>
      <c r="Z46" s="352">
        <f t="shared" si="37"/>
        <v>156789.01554749993</v>
      </c>
      <c r="AA46" s="352">
        <f t="shared" si="37"/>
        <v>156789.01554749993</v>
      </c>
      <c r="AB46" s="352">
        <f t="shared" si="37"/>
        <v>191941.01554749993</v>
      </c>
      <c r="AC46" s="352">
        <f t="shared" si="37"/>
        <v>159140.85078071241</v>
      </c>
      <c r="AD46" s="352">
        <f t="shared" si="37"/>
        <v>159140.85078071241</v>
      </c>
      <c r="AE46" s="352">
        <f t="shared" si="37"/>
        <v>159140.85078071241</v>
      </c>
      <c r="AF46" s="352">
        <f t="shared" si="37"/>
        <v>195698.9307807124</v>
      </c>
      <c r="AG46" s="352">
        <f t="shared" si="37"/>
        <v>161527.96354242309</v>
      </c>
      <c r="AH46" s="352">
        <f t="shared" si="37"/>
        <v>161527.96354242309</v>
      </c>
      <c r="AI46" s="352">
        <f t="shared" si="37"/>
        <v>161527.96354242309</v>
      </c>
      <c r="AJ46" s="352">
        <f t="shared" si="37"/>
        <v>199548.3667424231</v>
      </c>
      <c r="AK46" s="352">
        <f t="shared" si="37"/>
        <v>163950.88299555937</v>
      </c>
      <c r="AL46" s="352">
        <f t="shared" si="37"/>
        <v>163950.88299555937</v>
      </c>
      <c r="AM46" s="352">
        <f t="shared" si="37"/>
        <v>163950.88299555937</v>
      </c>
      <c r="AN46" s="352">
        <f t="shared" si="37"/>
        <v>203492.10232355937</v>
      </c>
      <c r="AO46" s="352">
        <f t="shared" ref="AO46:BT46" si="38">AO27</f>
        <v>166410.14624049276</v>
      </c>
      <c r="AP46" s="352">
        <f t="shared" si="38"/>
        <v>166410.14624049276</v>
      </c>
      <c r="AQ46" s="352">
        <f t="shared" si="38"/>
        <v>166410.14624049276</v>
      </c>
      <c r="AR46" s="352">
        <f t="shared" si="38"/>
        <v>207533.01434161275</v>
      </c>
      <c r="AS46" s="352">
        <f t="shared" si="38"/>
        <v>168906.29843410014</v>
      </c>
      <c r="AT46" s="352">
        <f t="shared" si="38"/>
        <v>168906.29843410014</v>
      </c>
      <c r="AU46" s="352">
        <f t="shared" si="38"/>
        <v>168906.29843410014</v>
      </c>
      <c r="AV46" s="352">
        <f t="shared" si="38"/>
        <v>211674.08125926493</v>
      </c>
      <c r="AW46" s="352">
        <f t="shared" si="38"/>
        <v>171439.89291061161</v>
      </c>
      <c r="AX46" s="352">
        <f t="shared" si="38"/>
        <v>171439.89291061161</v>
      </c>
      <c r="AY46" s="352">
        <f t="shared" si="38"/>
        <v>171439.89291061161</v>
      </c>
      <c r="AZ46" s="352">
        <f t="shared" si="38"/>
        <v>215918.38704878301</v>
      </c>
      <c r="BA46" s="352">
        <f t="shared" si="38"/>
        <v>174011.49130427075</v>
      </c>
      <c r="BB46" s="352">
        <f t="shared" si="38"/>
        <v>174011.49130427075</v>
      </c>
      <c r="BC46" s="352">
        <f t="shared" si="38"/>
        <v>174011.49130427075</v>
      </c>
      <c r="BD46" s="352">
        <f t="shared" si="38"/>
        <v>220269.12520796902</v>
      </c>
      <c r="BE46" s="352">
        <f t="shared" si="38"/>
        <v>176621.66367383482</v>
      </c>
      <c r="BF46" s="352">
        <f t="shared" si="38"/>
        <v>176621.66367383482</v>
      </c>
      <c r="BG46" s="352">
        <f t="shared" si="38"/>
        <v>176621.66367383482</v>
      </c>
      <c r="BH46" s="352">
        <f t="shared" si="38"/>
        <v>224729.60293368099</v>
      </c>
      <c r="BI46" s="352">
        <f t="shared" si="38"/>
        <v>179270.98862894229</v>
      </c>
      <c r="BJ46" s="352">
        <f t="shared" si="38"/>
        <v>179270.98862894229</v>
      </c>
      <c r="BK46" s="352">
        <f t="shared" si="38"/>
        <v>179270.98862894229</v>
      </c>
      <c r="BL46" s="352">
        <f t="shared" si="38"/>
        <v>229303.2454591823</v>
      </c>
      <c r="BM46" s="352">
        <f t="shared" si="38"/>
        <v>179270.98862894229</v>
      </c>
      <c r="BN46" s="352">
        <f t="shared" si="38"/>
        <v>179270.98862894229</v>
      </c>
      <c r="BO46" s="352">
        <f t="shared" si="38"/>
        <v>179270.98862894229</v>
      </c>
      <c r="BP46" s="352">
        <f t="shared" si="38"/>
        <v>231304.53573239193</v>
      </c>
      <c r="BQ46" s="352">
        <f t="shared" si="38"/>
        <v>179270.98862894229</v>
      </c>
      <c r="BR46" s="352">
        <f t="shared" si="38"/>
        <v>179270.98862894229</v>
      </c>
      <c r="BS46" s="352">
        <f t="shared" si="38"/>
        <v>179270.98862894229</v>
      </c>
      <c r="BT46" s="352">
        <f t="shared" si="38"/>
        <v>233385.87761652991</v>
      </c>
    </row>
    <row r="47" spans="2:72 16384:16384" s="345" customFormat="1" ht="16.5" customHeight="1" thickBot="1" x14ac:dyDescent="0.3">
      <c r="B47" s="498" t="s">
        <v>198</v>
      </c>
      <c r="C47" s="498"/>
      <c r="D47" s="498"/>
      <c r="E47" s="346">
        <f t="shared" ref="E47:AJ47" si="39">E46*1.2</f>
        <v>0</v>
      </c>
      <c r="F47" s="353">
        <f t="shared" si="39"/>
        <v>0</v>
      </c>
      <c r="G47" s="353">
        <f t="shared" si="39"/>
        <v>0</v>
      </c>
      <c r="H47" s="354">
        <f t="shared" si="39"/>
        <v>0</v>
      </c>
      <c r="I47" s="346">
        <f t="shared" si="39"/>
        <v>0</v>
      </c>
      <c r="J47" s="353">
        <f t="shared" si="39"/>
        <v>0</v>
      </c>
      <c r="K47" s="353">
        <f t="shared" si="39"/>
        <v>0</v>
      </c>
      <c r="L47" s="354">
        <f t="shared" si="39"/>
        <v>0</v>
      </c>
      <c r="M47" s="346">
        <f t="shared" si="39"/>
        <v>179928</v>
      </c>
      <c r="N47" s="353">
        <f t="shared" si="39"/>
        <v>179928</v>
      </c>
      <c r="O47" s="353">
        <f t="shared" si="39"/>
        <v>179928</v>
      </c>
      <c r="P47" s="354">
        <f t="shared" si="39"/>
        <v>217428</v>
      </c>
      <c r="Q47" s="346">
        <f t="shared" si="39"/>
        <v>182626.92</v>
      </c>
      <c r="R47" s="353">
        <f t="shared" si="39"/>
        <v>182626.92</v>
      </c>
      <c r="S47" s="353">
        <f t="shared" si="39"/>
        <v>182626.92</v>
      </c>
      <c r="T47" s="354">
        <f t="shared" si="39"/>
        <v>221626.92</v>
      </c>
      <c r="U47" s="346">
        <f t="shared" si="39"/>
        <v>185366.32379999993</v>
      </c>
      <c r="V47" s="353">
        <f t="shared" si="39"/>
        <v>185366.32379999993</v>
      </c>
      <c r="W47" s="353">
        <f t="shared" si="39"/>
        <v>185366.32379999993</v>
      </c>
      <c r="X47" s="354">
        <f t="shared" si="39"/>
        <v>225926.32379999993</v>
      </c>
      <c r="Y47" s="346">
        <f t="shared" si="39"/>
        <v>188146.81865699991</v>
      </c>
      <c r="Z47" s="353">
        <f t="shared" si="39"/>
        <v>188146.81865699991</v>
      </c>
      <c r="AA47" s="353">
        <f t="shared" si="39"/>
        <v>188146.81865699991</v>
      </c>
      <c r="AB47" s="354">
        <f t="shared" si="39"/>
        <v>230329.2186569999</v>
      </c>
      <c r="AC47" s="346">
        <f t="shared" si="39"/>
        <v>190969.02093685488</v>
      </c>
      <c r="AD47" s="353">
        <f t="shared" si="39"/>
        <v>190969.02093685488</v>
      </c>
      <c r="AE47" s="353">
        <f t="shared" si="39"/>
        <v>190969.02093685488</v>
      </c>
      <c r="AF47" s="354">
        <f t="shared" si="39"/>
        <v>234838.71693685488</v>
      </c>
      <c r="AG47" s="346">
        <f t="shared" si="39"/>
        <v>193833.55625090771</v>
      </c>
      <c r="AH47" s="353">
        <f t="shared" si="39"/>
        <v>193833.55625090771</v>
      </c>
      <c r="AI47" s="353">
        <f t="shared" si="39"/>
        <v>193833.55625090771</v>
      </c>
      <c r="AJ47" s="354">
        <f t="shared" si="39"/>
        <v>239458.04009090771</v>
      </c>
      <c r="AK47" s="346">
        <f t="shared" ref="AK47:BT47" si="40">AK46*1.2</f>
        <v>196741.05959467124</v>
      </c>
      <c r="AL47" s="353">
        <f t="shared" si="40"/>
        <v>196741.05959467124</v>
      </c>
      <c r="AM47" s="353">
        <f t="shared" si="40"/>
        <v>196741.05959467124</v>
      </c>
      <c r="AN47" s="354">
        <f t="shared" si="40"/>
        <v>244190.52278827125</v>
      </c>
      <c r="AO47" s="346">
        <f t="shared" si="40"/>
        <v>199692.17548859131</v>
      </c>
      <c r="AP47" s="353">
        <f t="shared" si="40"/>
        <v>199692.17548859131</v>
      </c>
      <c r="AQ47" s="353">
        <f t="shared" si="40"/>
        <v>199692.17548859131</v>
      </c>
      <c r="AR47" s="354">
        <f t="shared" si="40"/>
        <v>249039.6172099353</v>
      </c>
      <c r="AS47" s="346">
        <f t="shared" si="40"/>
        <v>202687.55812092018</v>
      </c>
      <c r="AT47" s="353">
        <f t="shared" si="40"/>
        <v>202687.55812092018</v>
      </c>
      <c r="AU47" s="353">
        <f t="shared" si="40"/>
        <v>202687.55812092018</v>
      </c>
      <c r="AV47" s="354">
        <f t="shared" si="40"/>
        <v>254008.89751111792</v>
      </c>
      <c r="AW47" s="346">
        <f t="shared" si="40"/>
        <v>205727.87149273392</v>
      </c>
      <c r="AX47" s="353">
        <f t="shared" si="40"/>
        <v>205727.87149273392</v>
      </c>
      <c r="AY47" s="353">
        <f t="shared" si="40"/>
        <v>205727.87149273392</v>
      </c>
      <c r="AZ47" s="354">
        <f t="shared" si="40"/>
        <v>259102.06445853959</v>
      </c>
      <c r="BA47" s="346">
        <f t="shared" si="40"/>
        <v>208813.7895651249</v>
      </c>
      <c r="BB47" s="353">
        <f t="shared" si="40"/>
        <v>208813.7895651249</v>
      </c>
      <c r="BC47" s="353">
        <f t="shared" si="40"/>
        <v>208813.7895651249</v>
      </c>
      <c r="BD47" s="354">
        <f t="shared" si="40"/>
        <v>264322.9502495628</v>
      </c>
      <c r="BE47" s="346">
        <f t="shared" si="40"/>
        <v>211945.99640860179</v>
      </c>
      <c r="BF47" s="353">
        <f t="shared" si="40"/>
        <v>211945.99640860179</v>
      </c>
      <c r="BG47" s="353">
        <f t="shared" si="40"/>
        <v>211945.99640860179</v>
      </c>
      <c r="BH47" s="354">
        <f t="shared" si="40"/>
        <v>269675.52352041716</v>
      </c>
      <c r="BI47" s="346">
        <f t="shared" si="40"/>
        <v>215125.18635473074</v>
      </c>
      <c r="BJ47" s="353">
        <f t="shared" si="40"/>
        <v>215125.18635473074</v>
      </c>
      <c r="BK47" s="353">
        <f t="shared" si="40"/>
        <v>215125.18635473074</v>
      </c>
      <c r="BL47" s="354">
        <f t="shared" si="40"/>
        <v>275163.89455101878</v>
      </c>
      <c r="BM47" s="346">
        <f t="shared" si="40"/>
        <v>215125.18635473074</v>
      </c>
      <c r="BN47" s="353">
        <f t="shared" si="40"/>
        <v>215125.18635473074</v>
      </c>
      <c r="BO47" s="353">
        <f t="shared" si="40"/>
        <v>215125.18635473074</v>
      </c>
      <c r="BP47" s="354">
        <f t="shared" si="40"/>
        <v>277565.44287887029</v>
      </c>
      <c r="BQ47" s="346">
        <f t="shared" si="40"/>
        <v>215125.18635473074</v>
      </c>
      <c r="BR47" s="353">
        <f t="shared" si="40"/>
        <v>215125.18635473074</v>
      </c>
      <c r="BS47" s="353">
        <f t="shared" si="40"/>
        <v>215125.18635473074</v>
      </c>
      <c r="BT47" s="354">
        <f t="shared" si="40"/>
        <v>280063.05313983589</v>
      </c>
    </row>
    <row r="48" spans="2:72 16384:16384" s="345" customFormat="1" ht="15.75" customHeight="1" x14ac:dyDescent="0.25">
      <c r="B48" s="350"/>
      <c r="C48" s="350"/>
      <c r="D48" s="350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55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Q48" s="339"/>
    </row>
    <row r="49" spans="2:72" s="197" customFormat="1" ht="18.75" customHeight="1" x14ac:dyDescent="0.3">
      <c r="B49" s="316"/>
      <c r="C49" s="317"/>
      <c r="D49" s="497" t="s">
        <v>199</v>
      </c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  <c r="V49" s="497"/>
      <c r="W49" s="497"/>
      <c r="X49" s="497"/>
      <c r="Y49" s="497"/>
      <c r="Z49" s="497"/>
      <c r="AA49" s="497"/>
      <c r="AB49" s="497"/>
      <c r="AC49" s="497"/>
      <c r="AD49" s="497"/>
      <c r="AE49" s="497"/>
      <c r="AF49" s="497"/>
      <c r="AG49" s="497"/>
      <c r="AH49" s="497"/>
      <c r="AI49" s="497"/>
      <c r="AJ49" s="497"/>
      <c r="AK49" s="497"/>
      <c r="AL49" s="497"/>
      <c r="AM49" s="497"/>
      <c r="AN49" s="497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9"/>
      <c r="BM49" s="318"/>
      <c r="BN49" s="318"/>
      <c r="BO49" s="318"/>
      <c r="BP49" s="319"/>
      <c r="BQ49" s="318"/>
      <c r="BR49" s="318"/>
      <c r="BS49" s="318"/>
      <c r="BT49" s="319"/>
    </row>
    <row r="50" spans="2:72" s="356" customFormat="1" ht="15.75" customHeight="1" thickBot="1" x14ac:dyDescent="0.3"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AP50" s="357"/>
      <c r="AQ50" s="357"/>
      <c r="AR50" s="357"/>
      <c r="AS50" s="357"/>
      <c r="AT50" s="357"/>
      <c r="AU50" s="357"/>
      <c r="AV50" s="357"/>
      <c r="AW50" s="357"/>
      <c r="AX50" s="357"/>
      <c r="AY50" s="357"/>
    </row>
    <row r="51" spans="2:72" s="326" customFormat="1" ht="15.75" customHeight="1" x14ac:dyDescent="0.25">
      <c r="B51" s="327"/>
      <c r="C51" s="328"/>
      <c r="D51" s="329" t="s">
        <v>200</v>
      </c>
      <c r="E51" s="330"/>
      <c r="F51" s="331"/>
      <c r="G51" s="331"/>
      <c r="H51" s="332"/>
      <c r="I51" s="330"/>
      <c r="J51" s="331"/>
      <c r="K51" s="331"/>
      <c r="L51" s="332"/>
      <c r="M51" s="330"/>
      <c r="N51" s="331"/>
      <c r="O51" s="331"/>
      <c r="P51" s="332"/>
      <c r="Q51" s="330"/>
      <c r="R51" s="331"/>
      <c r="S51" s="331"/>
      <c r="T51" s="332"/>
      <c r="U51" s="330"/>
      <c r="V51" s="331"/>
      <c r="W51" s="331"/>
      <c r="X51" s="332"/>
      <c r="Y51" s="330"/>
      <c r="Z51" s="331"/>
      <c r="AA51" s="331"/>
      <c r="AB51" s="332"/>
      <c r="AC51" s="330"/>
      <c r="AD51" s="331"/>
      <c r="AE51" s="331"/>
      <c r="AF51" s="332"/>
      <c r="AG51" s="330"/>
      <c r="AH51" s="331"/>
      <c r="AI51" s="331"/>
      <c r="AJ51" s="332"/>
      <c r="AK51" s="330"/>
      <c r="AL51" s="331"/>
      <c r="AM51" s="331"/>
      <c r="AN51" s="332"/>
      <c r="AO51" s="330"/>
      <c r="AP51" s="331"/>
      <c r="AQ51" s="331"/>
      <c r="AR51" s="332"/>
      <c r="AS51" s="330"/>
      <c r="AT51" s="331"/>
      <c r="AU51" s="331"/>
      <c r="AV51" s="332"/>
      <c r="AW51" s="330"/>
      <c r="AX51" s="331"/>
      <c r="AY51" s="331"/>
      <c r="AZ51" s="332"/>
      <c r="BA51" s="330"/>
      <c r="BB51" s="331"/>
      <c r="BC51" s="331"/>
      <c r="BD51" s="332"/>
      <c r="BE51" s="330"/>
      <c r="BF51" s="331"/>
      <c r="BG51" s="331"/>
      <c r="BH51" s="358"/>
      <c r="BI51" s="330"/>
      <c r="BJ51" s="331"/>
      <c r="BK51" s="331"/>
      <c r="BL51" s="332"/>
      <c r="BM51" s="330"/>
      <c r="BN51" s="331"/>
      <c r="BO51" s="331"/>
      <c r="BP51" s="332"/>
      <c r="BQ51" s="330"/>
      <c r="BR51" s="331"/>
      <c r="BS51" s="331"/>
      <c r="BT51" s="332"/>
    </row>
    <row r="52" spans="2:72" s="339" customFormat="1" x14ac:dyDescent="0.25">
      <c r="B52" s="340"/>
      <c r="C52" s="341"/>
      <c r="D52" s="334" t="s">
        <v>201</v>
      </c>
      <c r="E52" s="359">
        <f t="shared" ref="E52:AJ52" si="41">SUM(E20)</f>
        <v>0</v>
      </c>
      <c r="F52" s="360">
        <f t="shared" si="41"/>
        <v>0</v>
      </c>
      <c r="G52" s="360">
        <f t="shared" si="41"/>
        <v>0</v>
      </c>
      <c r="H52" s="344">
        <f t="shared" si="41"/>
        <v>0</v>
      </c>
      <c r="I52" s="359">
        <f t="shared" si="41"/>
        <v>0</v>
      </c>
      <c r="J52" s="343">
        <f t="shared" si="41"/>
        <v>0</v>
      </c>
      <c r="K52" s="339">
        <f t="shared" si="41"/>
        <v>0</v>
      </c>
      <c r="L52" s="344">
        <f t="shared" si="41"/>
        <v>0</v>
      </c>
      <c r="M52" s="359">
        <f t="shared" si="41"/>
        <v>7140</v>
      </c>
      <c r="N52" s="360">
        <f t="shared" si="41"/>
        <v>7140</v>
      </c>
      <c r="O52" s="360">
        <f t="shared" si="41"/>
        <v>7140</v>
      </c>
      <c r="P52" s="344">
        <f t="shared" si="41"/>
        <v>7140</v>
      </c>
      <c r="Q52" s="359">
        <f t="shared" si="41"/>
        <v>7247.0999999999995</v>
      </c>
      <c r="R52" s="343">
        <f t="shared" si="41"/>
        <v>7247.0999999999995</v>
      </c>
      <c r="S52" s="343">
        <f t="shared" si="41"/>
        <v>7247.0999999999995</v>
      </c>
      <c r="T52" s="361">
        <f t="shared" si="41"/>
        <v>7247.0999999999995</v>
      </c>
      <c r="U52" s="359">
        <f t="shared" si="41"/>
        <v>7355.8064999999979</v>
      </c>
      <c r="V52" s="360">
        <f t="shared" si="41"/>
        <v>7355.8064999999979</v>
      </c>
      <c r="W52" s="360">
        <f t="shared" si="41"/>
        <v>7355.8064999999979</v>
      </c>
      <c r="X52" s="344">
        <f t="shared" si="41"/>
        <v>7355.8064999999979</v>
      </c>
      <c r="Y52" s="359">
        <f t="shared" si="41"/>
        <v>7466.1435974999968</v>
      </c>
      <c r="Z52" s="360">
        <f t="shared" si="41"/>
        <v>7466.1435974999968</v>
      </c>
      <c r="AA52" s="343">
        <f t="shared" si="41"/>
        <v>7466.1435974999968</v>
      </c>
      <c r="AB52" s="361">
        <f t="shared" si="41"/>
        <v>7466.1435974999968</v>
      </c>
      <c r="AC52" s="359">
        <f t="shared" si="41"/>
        <v>7578.135751462496</v>
      </c>
      <c r="AD52" s="360">
        <f t="shared" si="41"/>
        <v>7578.135751462496</v>
      </c>
      <c r="AE52" s="360">
        <f t="shared" si="41"/>
        <v>7578.135751462496</v>
      </c>
      <c r="AF52" s="344">
        <f t="shared" si="41"/>
        <v>7578.135751462496</v>
      </c>
      <c r="AG52" s="359">
        <f t="shared" si="41"/>
        <v>7691.8077877344322</v>
      </c>
      <c r="AH52" s="343">
        <f t="shared" si="41"/>
        <v>7691.8077877344322</v>
      </c>
      <c r="AI52" s="339">
        <f t="shared" si="41"/>
        <v>7691.8077877344322</v>
      </c>
      <c r="AJ52" s="344">
        <f t="shared" si="41"/>
        <v>7691.8077877344322</v>
      </c>
      <c r="AK52" s="359">
        <f t="shared" ref="AK52:BT52" si="42">SUM(AK20)</f>
        <v>7807.1849045504478</v>
      </c>
      <c r="AL52" s="360">
        <f t="shared" si="42"/>
        <v>7807.1849045504478</v>
      </c>
      <c r="AM52" s="343">
        <f t="shared" si="42"/>
        <v>7807.1849045504478</v>
      </c>
      <c r="AN52" s="355">
        <f t="shared" si="42"/>
        <v>7807.1849045504478</v>
      </c>
      <c r="AO52" s="359">
        <f t="shared" si="42"/>
        <v>7924.2926781187025</v>
      </c>
      <c r="AP52" s="360">
        <f t="shared" si="42"/>
        <v>7924.2926781187025</v>
      </c>
      <c r="AQ52" s="360">
        <f t="shared" si="42"/>
        <v>7924.2926781187025</v>
      </c>
      <c r="AR52" s="344">
        <f t="shared" si="42"/>
        <v>7924.2926781187025</v>
      </c>
      <c r="AS52" s="359">
        <f t="shared" si="42"/>
        <v>8043.157068290483</v>
      </c>
      <c r="AT52" s="343">
        <f t="shared" si="42"/>
        <v>8043.157068290483</v>
      </c>
      <c r="AU52" s="339">
        <f t="shared" si="42"/>
        <v>8043.157068290483</v>
      </c>
      <c r="AV52" s="344">
        <f t="shared" si="42"/>
        <v>8043.157068290483</v>
      </c>
      <c r="AW52" s="359">
        <f t="shared" si="42"/>
        <v>8163.8044243148388</v>
      </c>
      <c r="AX52" s="360">
        <f t="shared" si="42"/>
        <v>8163.8044243148388</v>
      </c>
      <c r="AY52" s="360">
        <f t="shared" si="42"/>
        <v>8163.8044243148388</v>
      </c>
      <c r="AZ52" s="344">
        <f t="shared" si="42"/>
        <v>8163.8044243148388</v>
      </c>
      <c r="BA52" s="359">
        <f t="shared" si="42"/>
        <v>8286.2614906795607</v>
      </c>
      <c r="BB52" s="343">
        <f t="shared" si="42"/>
        <v>8286.2614906795607</v>
      </c>
      <c r="BC52" s="343">
        <f t="shared" si="42"/>
        <v>8286.2614906795607</v>
      </c>
      <c r="BD52" s="361">
        <f t="shared" si="42"/>
        <v>8286.2614906795607</v>
      </c>
      <c r="BE52" s="359">
        <f t="shared" si="42"/>
        <v>8410.5554130397522</v>
      </c>
      <c r="BF52" s="360">
        <f t="shared" si="42"/>
        <v>8410.5554130397522</v>
      </c>
      <c r="BG52" s="360">
        <f t="shared" si="42"/>
        <v>8410.5554130397522</v>
      </c>
      <c r="BH52" s="360">
        <f t="shared" si="42"/>
        <v>8410.5554130397522</v>
      </c>
      <c r="BI52" s="359">
        <f t="shared" si="42"/>
        <v>8536.7137442353469</v>
      </c>
      <c r="BJ52" s="360">
        <f t="shared" si="42"/>
        <v>8536.7137442353469</v>
      </c>
      <c r="BK52" s="360">
        <f t="shared" si="42"/>
        <v>8536.7137442353469</v>
      </c>
      <c r="BL52" s="344">
        <f t="shared" si="42"/>
        <v>8536.7137442353469</v>
      </c>
      <c r="BM52" s="359">
        <f t="shared" si="42"/>
        <v>8536.7137442353469</v>
      </c>
      <c r="BN52" s="360">
        <f t="shared" si="42"/>
        <v>8536.7137442353469</v>
      </c>
      <c r="BO52" s="360">
        <f t="shared" si="42"/>
        <v>8536.7137442353469</v>
      </c>
      <c r="BP52" s="344">
        <f t="shared" si="42"/>
        <v>8536.7137442353469</v>
      </c>
      <c r="BQ52" s="359">
        <f t="shared" si="42"/>
        <v>8536.7137442353469</v>
      </c>
      <c r="BR52" s="360">
        <f t="shared" si="42"/>
        <v>8536.7137442353469</v>
      </c>
      <c r="BS52" s="360">
        <f t="shared" si="42"/>
        <v>8536.7137442353469</v>
      </c>
      <c r="BT52" s="344">
        <f t="shared" si="42"/>
        <v>8536.7137442353469</v>
      </c>
    </row>
    <row r="53" spans="2:72" s="339" customFormat="1" x14ac:dyDescent="0.25">
      <c r="B53" s="340"/>
      <c r="C53" s="341"/>
      <c r="D53" s="334" t="s">
        <v>202</v>
      </c>
      <c r="E53" s="359">
        <f>E38*'Plan de financement_input immo '!$B$23</f>
        <v>0</v>
      </c>
      <c r="F53" s="360">
        <f>F38*'Plan de financement_input immo '!$B$23</f>
        <v>0</v>
      </c>
      <c r="G53" s="360">
        <f>G38*'Plan de financement_input immo '!$B$23</f>
        <v>0</v>
      </c>
      <c r="H53" s="344">
        <f>H38*'Plan de financement_input immo '!$B$23</f>
        <v>0</v>
      </c>
      <c r="I53" s="359">
        <f>I38*'Plan de financement_input immo '!$B$23</f>
        <v>0</v>
      </c>
      <c r="J53" s="343">
        <f>J38*'Plan de financement_input immo '!$B$23</f>
        <v>0</v>
      </c>
      <c r="K53" s="339">
        <f>K38*'Plan de financement_input immo '!$B$23</f>
        <v>0</v>
      </c>
      <c r="L53" s="344">
        <f>L38*'Plan de financement_input immo '!$B$23</f>
        <v>0</v>
      </c>
      <c r="M53" s="359">
        <f>M38*'Plan de financement_input immo '!$B$23</f>
        <v>7140</v>
      </c>
      <c r="N53" s="360">
        <f>N38*'Plan de financement_input immo '!$B$23</f>
        <v>7140</v>
      </c>
      <c r="O53" s="360">
        <f>O38*'Plan de financement_input immo '!$B$23</f>
        <v>7140</v>
      </c>
      <c r="P53" s="344">
        <f>P38*'Plan de financement_input immo '!$B$23</f>
        <v>7140</v>
      </c>
      <c r="Q53" s="359">
        <f>Q38*'Plan de financement_input immo '!$B$23</f>
        <v>7247.1</v>
      </c>
      <c r="R53" s="343">
        <f>R38*'Plan de financement_input immo '!$B$23</f>
        <v>7247.1</v>
      </c>
      <c r="S53" s="343">
        <f>S38*'Plan de financement_input immo '!$B$23</f>
        <v>7247.1</v>
      </c>
      <c r="T53" s="361">
        <f>T38*'Plan de financement_input immo '!$B$23</f>
        <v>7247.1</v>
      </c>
      <c r="U53" s="359">
        <f>U38*'Plan de financement_input immo '!$B$23</f>
        <v>7355.8064999999979</v>
      </c>
      <c r="V53" s="360">
        <f>V38*'Plan de financement_input immo '!$B$23</f>
        <v>7355.8064999999979</v>
      </c>
      <c r="W53" s="360">
        <f>W38*'Plan de financement_input immo '!$B$23</f>
        <v>7355.8064999999979</v>
      </c>
      <c r="X53" s="344">
        <f>X38*'Plan de financement_input immo '!$B$23</f>
        <v>7355.8064999999979</v>
      </c>
      <c r="Y53" s="359">
        <f>Y38*'Plan de financement_input immo '!$B$23</f>
        <v>7466.1435974999977</v>
      </c>
      <c r="Z53" s="360">
        <f>Z38*'Plan de financement_input immo '!$B$23</f>
        <v>7466.1435974999977</v>
      </c>
      <c r="AA53" s="343">
        <f>AA38*'Plan de financement_input immo '!$B$23</f>
        <v>7466.1435974999977</v>
      </c>
      <c r="AB53" s="361">
        <f>AB38*'Plan de financement_input immo '!$B$23</f>
        <v>7466.1435974999977</v>
      </c>
      <c r="AC53" s="359">
        <f>AC38*'Plan de financement_input immo '!$B$23</f>
        <v>7578.135751462497</v>
      </c>
      <c r="AD53" s="360">
        <f>AD38*'Plan de financement_input immo '!$B$23</f>
        <v>7578.135751462497</v>
      </c>
      <c r="AE53" s="360">
        <f>AE38*'Plan de financement_input immo '!$B$23</f>
        <v>7578.135751462497</v>
      </c>
      <c r="AF53" s="344">
        <f>AF38*'Plan de financement_input immo '!$B$23</f>
        <v>7578.135751462497</v>
      </c>
      <c r="AG53" s="359">
        <f>AG38*'Plan de financement_input immo '!$B$23</f>
        <v>7691.8077877344331</v>
      </c>
      <c r="AH53" s="343">
        <f>AH38*'Plan de financement_input immo '!$B$23</f>
        <v>7691.8077877344331</v>
      </c>
      <c r="AI53" s="339">
        <f>AI38*'Plan de financement_input immo '!$B$23</f>
        <v>7691.8077877344331</v>
      </c>
      <c r="AJ53" s="344">
        <f>AJ38*'Plan de financement_input immo '!$B$23</f>
        <v>7691.8077877344331</v>
      </c>
      <c r="AK53" s="359">
        <f>AK38*'Plan de financement_input immo '!$B$23</f>
        <v>7807.1849045504468</v>
      </c>
      <c r="AL53" s="360">
        <f>AL38*'Plan de financement_input immo '!$B$23</f>
        <v>7807.1849045504468</v>
      </c>
      <c r="AM53" s="343">
        <f>AM38*'Plan de financement_input immo '!$B$23</f>
        <v>7807.1849045504468</v>
      </c>
      <c r="AN53" s="355">
        <f>AN38*'Plan de financement_input immo '!$B$23</f>
        <v>7807.1849045504468</v>
      </c>
      <c r="AO53" s="359">
        <f>AO38*'Plan de financement_input immo '!$B$23</f>
        <v>7924.2926781187025</v>
      </c>
      <c r="AP53" s="360">
        <f>AP38*'Plan de financement_input immo '!$B$23</f>
        <v>7924.2926781187025</v>
      </c>
      <c r="AQ53" s="360">
        <f>AQ38*'Plan de financement_input immo '!$B$23</f>
        <v>7924.2926781187025</v>
      </c>
      <c r="AR53" s="344">
        <f>AR38*'Plan de financement_input immo '!$B$23</f>
        <v>7924.2926781187025</v>
      </c>
      <c r="AS53" s="359">
        <f>AS38*'Plan de financement_input immo '!$B$23</f>
        <v>8043.157068290483</v>
      </c>
      <c r="AT53" s="343">
        <f>AT38*'Plan de financement_input immo '!$B$23</f>
        <v>8043.157068290483</v>
      </c>
      <c r="AU53" s="339">
        <f>AU38*'Plan de financement_input immo '!$B$23</f>
        <v>8043.157068290483</v>
      </c>
      <c r="AV53" s="344">
        <f>AV38*'Plan de financement_input immo '!$B$23</f>
        <v>8043.157068290483</v>
      </c>
      <c r="AW53" s="359">
        <f>AW38*'Plan de financement_input immo '!$B$23</f>
        <v>8163.8044243148388</v>
      </c>
      <c r="AX53" s="360">
        <f>AX38*'Plan de financement_input immo '!$B$23</f>
        <v>8163.8044243148388</v>
      </c>
      <c r="AY53" s="360">
        <f>AY38*'Plan de financement_input immo '!$B$23</f>
        <v>8163.8044243148388</v>
      </c>
      <c r="AZ53" s="344">
        <f>AZ38*'Plan de financement_input immo '!$B$23</f>
        <v>8163.8044243148388</v>
      </c>
      <c r="BA53" s="359">
        <f>BA38*'Plan de financement_input immo '!$B$23</f>
        <v>8286.2614906795607</v>
      </c>
      <c r="BB53" s="343">
        <f>BB38*'Plan de financement_input immo '!$B$23</f>
        <v>8286.2614906795607</v>
      </c>
      <c r="BC53" s="343">
        <f>BC38*'Plan de financement_input immo '!$B$23</f>
        <v>8286.2614906795607</v>
      </c>
      <c r="BD53" s="361">
        <f>BD38*'Plan de financement_input immo '!$B$23</f>
        <v>8286.2614906795607</v>
      </c>
      <c r="BE53" s="359">
        <f>BE38*'Plan de financement_input immo '!$B$23</f>
        <v>8410.5554130397541</v>
      </c>
      <c r="BF53" s="360">
        <f>BF38*'Plan de financement_input immo '!$B$23</f>
        <v>8410.5554130397541</v>
      </c>
      <c r="BG53" s="360">
        <f>BG38*'Plan de financement_input immo '!$B$23</f>
        <v>8410.5554130397541</v>
      </c>
      <c r="BH53" s="360">
        <f>BH38*'Plan de financement_input immo '!$B$23</f>
        <v>8410.5554130397541</v>
      </c>
      <c r="BI53" s="359">
        <f>BI38*'Plan de financement_input immo '!$B$23</f>
        <v>8536.7137442353469</v>
      </c>
      <c r="BJ53" s="360">
        <f>BJ38*'Plan de financement_input immo '!$B$23</f>
        <v>8536.7137442353469</v>
      </c>
      <c r="BK53" s="360">
        <f>BK38*'Plan de financement_input immo '!$B$23</f>
        <v>8536.7137442353469</v>
      </c>
      <c r="BL53" s="344">
        <f>BL38*'Plan de financement_input immo '!$B$23</f>
        <v>8536.7137442353469</v>
      </c>
      <c r="BM53" s="359">
        <f>BM38*'Plan de financement_input immo '!$B$23</f>
        <v>8536.7137442353469</v>
      </c>
      <c r="BN53" s="360">
        <f>BN38*'Plan de financement_input immo '!$B$23</f>
        <v>8536.7137442353469</v>
      </c>
      <c r="BO53" s="360">
        <f>BO38*'Plan de financement_input immo '!$B$23</f>
        <v>8536.7137442353469</v>
      </c>
      <c r="BP53" s="344">
        <f>BP38*'Plan de financement_input immo '!$B$23</f>
        <v>8536.7137442353469</v>
      </c>
      <c r="BQ53" s="359">
        <f>BQ38*'Plan de financement_input immo '!$B$23</f>
        <v>8536.7137442353469</v>
      </c>
      <c r="BR53" s="360">
        <f>BR38*'Plan de financement_input immo '!$B$23</f>
        <v>8536.7137442353469</v>
      </c>
      <c r="BS53" s="360">
        <f>BS38*'Plan de financement_input immo '!$B$23</f>
        <v>8536.7137442353469</v>
      </c>
      <c r="BT53" s="344">
        <f>BT38*'Plan de financement_input immo '!$B$23</f>
        <v>8536.7137442353469</v>
      </c>
    </row>
    <row r="54" spans="2:72" s="339" customFormat="1" x14ac:dyDescent="0.25">
      <c r="B54" s="340"/>
      <c r="C54" s="341"/>
      <c r="D54" s="334" t="s">
        <v>203</v>
      </c>
      <c r="E54" s="342"/>
      <c r="F54" s="343"/>
      <c r="G54" s="343"/>
      <c r="H54" s="344">
        <f>H19</f>
        <v>0</v>
      </c>
      <c r="I54" s="342"/>
      <c r="J54" s="343"/>
      <c r="K54" s="343"/>
      <c r="L54" s="344">
        <f>L19</f>
        <v>0</v>
      </c>
      <c r="M54" s="342"/>
      <c r="N54" s="343"/>
      <c r="O54" s="343"/>
      <c r="P54" s="344">
        <f>P19</f>
        <v>31250</v>
      </c>
      <c r="Q54" s="342"/>
      <c r="R54" s="343"/>
      <c r="S54" s="343"/>
      <c r="T54" s="344">
        <f>T19</f>
        <v>32500</v>
      </c>
      <c r="U54" s="342"/>
      <c r="V54" s="343"/>
      <c r="W54" s="343"/>
      <c r="X54" s="344">
        <f>X19</f>
        <v>33800</v>
      </c>
      <c r="Y54" s="342"/>
      <c r="Z54" s="343"/>
      <c r="AA54" s="343"/>
      <c r="AB54" s="344">
        <f>AB19</f>
        <v>35152</v>
      </c>
      <c r="AC54" s="342"/>
      <c r="AD54" s="343"/>
      <c r="AE54" s="343"/>
      <c r="AF54" s="344">
        <f>AF19</f>
        <v>36558.080000000002</v>
      </c>
      <c r="AG54" s="342"/>
      <c r="AH54" s="343"/>
      <c r="AI54" s="343"/>
      <c r="AJ54" s="344">
        <f>AJ19</f>
        <v>38020.403200000001</v>
      </c>
      <c r="AK54" s="342"/>
      <c r="AL54" s="343"/>
      <c r="AM54" s="343"/>
      <c r="AN54" s="344">
        <f>AN19</f>
        <v>39541.219327999999</v>
      </c>
      <c r="AO54" s="342"/>
      <c r="AP54" s="343"/>
      <c r="AQ54" s="343"/>
      <c r="AR54" s="344">
        <f>AR19</f>
        <v>41122.868101120002</v>
      </c>
      <c r="AS54" s="342"/>
      <c r="AT54" s="343"/>
      <c r="AU54" s="343"/>
      <c r="AV54" s="344">
        <f>AV19</f>
        <v>42767.782825164802</v>
      </c>
      <c r="AW54" s="342"/>
      <c r="AX54" s="343"/>
      <c r="AY54" s="343"/>
      <c r="AZ54" s="344">
        <f>AZ19</f>
        <v>44478.494138171394</v>
      </c>
      <c r="BA54" s="342"/>
      <c r="BB54" s="343"/>
      <c r="BC54" s="343"/>
      <c r="BD54" s="344">
        <f>BD19</f>
        <v>46257.633903698254</v>
      </c>
      <c r="BE54" s="342"/>
      <c r="BF54" s="343"/>
      <c r="BG54" s="343"/>
      <c r="BH54" s="360">
        <f>BH19</f>
        <v>48107.939259846185</v>
      </c>
      <c r="BI54" s="342"/>
      <c r="BJ54" s="343"/>
      <c r="BK54" s="343"/>
      <c r="BL54" s="344">
        <f>BL19</f>
        <v>50032.256830240032</v>
      </c>
      <c r="BM54" s="342"/>
      <c r="BN54" s="343"/>
      <c r="BO54" s="343"/>
      <c r="BP54" s="344">
        <f t="shared" ref="BP54:BT54" si="43">BP19</f>
        <v>52033.547103449637</v>
      </c>
      <c r="BQ54" s="342"/>
      <c r="BR54" s="343"/>
      <c r="BS54" s="343"/>
      <c r="BT54" s="344">
        <f t="shared" ref="BT54" si="44">BT19</f>
        <v>54114.888987587619</v>
      </c>
    </row>
    <row r="55" spans="2:72" s="339" customFormat="1" x14ac:dyDescent="0.25">
      <c r="B55" s="340"/>
      <c r="C55" s="341"/>
      <c r="D55" s="334" t="s">
        <v>204</v>
      </c>
      <c r="E55" s="342">
        <f>2*'Etat locatif prévi'!E4</f>
        <v>2500</v>
      </c>
      <c r="F55" s="343"/>
      <c r="G55" s="343"/>
      <c r="H55" s="344"/>
      <c r="I55" s="342">
        <f>E55+(E55*$D$36)</f>
        <v>2537.5</v>
      </c>
      <c r="J55" s="343"/>
      <c r="K55" s="343"/>
      <c r="L55" s="344"/>
      <c r="M55" s="342">
        <f>I55+(I55*$D$36)</f>
        <v>2575.5625</v>
      </c>
      <c r="N55" s="343"/>
      <c r="O55" s="343"/>
      <c r="P55" s="344"/>
      <c r="Q55" s="342">
        <f>M55+(M55*$D$36)</f>
        <v>2614.1959375000001</v>
      </c>
      <c r="R55" s="343"/>
      <c r="S55" s="343"/>
      <c r="T55" s="344"/>
      <c r="U55" s="342">
        <f>Q55+(Q55*$D$36)</f>
        <v>2653.4088765625002</v>
      </c>
      <c r="V55" s="343"/>
      <c r="W55" s="343"/>
      <c r="X55" s="344"/>
      <c r="Y55" s="342">
        <f>U55+(U55*$D$36)</f>
        <v>2693.2100097109378</v>
      </c>
      <c r="Z55" s="343"/>
      <c r="AA55" s="343"/>
      <c r="AB55" s="344"/>
      <c r="AC55" s="342">
        <f>Y55+(Y55*$D$36)</f>
        <v>2733.608159856602</v>
      </c>
      <c r="AD55" s="343"/>
      <c r="AE55" s="343"/>
      <c r="AF55" s="344"/>
      <c r="AG55" s="342">
        <f>AC55+(AC55*$D$36)</f>
        <v>2774.6122822544512</v>
      </c>
      <c r="AH55" s="343"/>
      <c r="AI55" s="343"/>
      <c r="AJ55" s="344"/>
      <c r="AK55" s="342">
        <f>AG55+(AG55*$D$36)</f>
        <v>2816.2314664882679</v>
      </c>
      <c r="AL55" s="343"/>
      <c r="AM55" s="343"/>
      <c r="AN55" s="344"/>
      <c r="AO55" s="342">
        <f>AK55+(AK55*$D$36)</f>
        <v>2858.4749384855918</v>
      </c>
      <c r="AP55" s="343"/>
      <c r="AQ55" s="343"/>
      <c r="AR55" s="344"/>
      <c r="AS55" s="342">
        <f>AO55+(AO55*$D$36)</f>
        <v>2901.3520625628757</v>
      </c>
      <c r="AT55" s="343"/>
      <c r="AU55" s="343"/>
      <c r="AV55" s="344"/>
      <c r="AW55" s="342">
        <f>AS55+(AS55*$D$36)</f>
        <v>2944.8723435013189</v>
      </c>
      <c r="AX55" s="343"/>
      <c r="AY55" s="343"/>
      <c r="AZ55" s="344"/>
      <c r="BA55" s="342">
        <f>AW55+(AW55*$D$36)</f>
        <v>2989.0454286538388</v>
      </c>
      <c r="BB55" s="343"/>
      <c r="BC55" s="343"/>
      <c r="BD55" s="344"/>
      <c r="BE55" s="342">
        <f>BA55+(BA55*$D$36)</f>
        <v>3033.8811100836465</v>
      </c>
      <c r="BF55" s="343"/>
      <c r="BG55" s="343"/>
      <c r="BH55" s="360"/>
      <c r="BI55" s="342">
        <f>BE55+(BE55*$D$36)</f>
        <v>3079.3893267349013</v>
      </c>
      <c r="BJ55" s="343"/>
      <c r="BK55" s="343"/>
      <c r="BL55" s="344"/>
      <c r="BM55" s="342">
        <f t="shared" ref="BM55" si="45">BI55+(BI55*$D$36)</f>
        <v>3125.5801666359248</v>
      </c>
      <c r="BN55" s="343"/>
      <c r="BO55" s="343"/>
      <c r="BP55" s="344"/>
      <c r="BQ55" s="342">
        <f t="shared" ref="BQ55" si="46">BM55+(BM55*$D$36)</f>
        <v>3172.4638691354635</v>
      </c>
      <c r="BR55" s="343"/>
      <c r="BS55" s="343"/>
      <c r="BT55" s="344"/>
    </row>
    <row r="56" spans="2:72" s="339" customFormat="1" ht="15.75" customHeight="1" thickBot="1" x14ac:dyDescent="0.3">
      <c r="B56" s="340"/>
      <c r="C56" s="341"/>
      <c r="D56" s="334"/>
      <c r="E56" s="342"/>
      <c r="F56" s="343"/>
      <c r="G56" s="343"/>
      <c r="H56" s="344"/>
      <c r="I56" s="342"/>
      <c r="J56" s="343"/>
      <c r="K56" s="343"/>
      <c r="L56" s="344"/>
      <c r="M56" s="342"/>
      <c r="N56" s="343"/>
      <c r="O56" s="343"/>
      <c r="P56" s="344"/>
      <c r="Q56" s="342"/>
      <c r="R56" s="343"/>
      <c r="S56" s="343"/>
      <c r="T56" s="344"/>
      <c r="U56" s="342"/>
      <c r="V56" s="343"/>
      <c r="W56" s="343"/>
      <c r="X56" s="344"/>
      <c r="Y56" s="342"/>
      <c r="Z56" s="343"/>
      <c r="AA56" s="343"/>
      <c r="AB56" s="344"/>
      <c r="AC56" s="342"/>
      <c r="AD56" s="343"/>
      <c r="AE56" s="343"/>
      <c r="AF56" s="344"/>
      <c r="AG56" s="342"/>
      <c r="AH56" s="343"/>
      <c r="AI56" s="343"/>
      <c r="AJ56" s="344"/>
      <c r="AK56" s="362"/>
      <c r="AL56" s="363"/>
      <c r="AM56" s="363"/>
      <c r="AN56" s="364"/>
      <c r="AO56" s="342"/>
      <c r="AP56" s="343"/>
      <c r="AQ56" s="343"/>
      <c r="AR56" s="344"/>
      <c r="AS56" s="342"/>
      <c r="AT56" s="343"/>
      <c r="AU56" s="343"/>
      <c r="AV56" s="344"/>
      <c r="AW56" s="342"/>
      <c r="AX56" s="343"/>
      <c r="AY56" s="343"/>
      <c r="AZ56" s="344"/>
      <c r="BA56" s="342"/>
      <c r="BB56" s="343"/>
      <c r="BC56" s="343"/>
      <c r="BD56" s="344"/>
      <c r="BE56" s="342"/>
      <c r="BF56" s="343"/>
      <c r="BG56" s="343"/>
      <c r="BH56" s="360"/>
      <c r="BI56" s="342"/>
      <c r="BJ56" s="343"/>
      <c r="BK56" s="343"/>
      <c r="BL56" s="344"/>
      <c r="BM56" s="342"/>
      <c r="BN56" s="343"/>
      <c r="BO56" s="343"/>
      <c r="BP56" s="344"/>
      <c r="BQ56" s="342"/>
      <c r="BR56" s="343"/>
      <c r="BS56" s="343"/>
      <c r="BT56" s="344"/>
    </row>
    <row r="57" spans="2:72" s="345" customFormat="1" ht="16.5" customHeight="1" thickBot="1" x14ac:dyDescent="0.3">
      <c r="B57" s="500" t="s">
        <v>205</v>
      </c>
      <c r="C57" s="500"/>
      <c r="D57" s="500"/>
      <c r="E57" s="346">
        <f t="shared" ref="E57:AJ57" si="47">SUM(E52:E56)</f>
        <v>2500</v>
      </c>
      <c r="F57" s="347">
        <f t="shared" si="47"/>
        <v>0</v>
      </c>
      <c r="G57" s="347">
        <f t="shared" si="47"/>
        <v>0</v>
      </c>
      <c r="H57" s="348">
        <f t="shared" si="47"/>
        <v>0</v>
      </c>
      <c r="I57" s="346">
        <f t="shared" si="47"/>
        <v>2537.5</v>
      </c>
      <c r="J57" s="347">
        <f t="shared" si="47"/>
        <v>0</v>
      </c>
      <c r="K57" s="347">
        <f t="shared" si="47"/>
        <v>0</v>
      </c>
      <c r="L57" s="348">
        <f t="shared" si="47"/>
        <v>0</v>
      </c>
      <c r="M57" s="346">
        <f t="shared" si="47"/>
        <v>16855.5625</v>
      </c>
      <c r="N57" s="347">
        <f t="shared" si="47"/>
        <v>14280</v>
      </c>
      <c r="O57" s="347">
        <f t="shared" si="47"/>
        <v>14280</v>
      </c>
      <c r="P57" s="348">
        <f t="shared" si="47"/>
        <v>45530</v>
      </c>
      <c r="Q57" s="346">
        <f t="shared" si="47"/>
        <v>17108.395937500001</v>
      </c>
      <c r="R57" s="347">
        <f t="shared" si="47"/>
        <v>14494.2</v>
      </c>
      <c r="S57" s="347">
        <f t="shared" si="47"/>
        <v>14494.2</v>
      </c>
      <c r="T57" s="348">
        <f t="shared" si="47"/>
        <v>46994.2</v>
      </c>
      <c r="U57" s="346">
        <f t="shared" si="47"/>
        <v>17365.021876562496</v>
      </c>
      <c r="V57" s="347">
        <f t="shared" si="47"/>
        <v>14711.612999999996</v>
      </c>
      <c r="W57" s="347">
        <f t="shared" si="47"/>
        <v>14711.612999999996</v>
      </c>
      <c r="X57" s="348">
        <f t="shared" si="47"/>
        <v>48511.612999999998</v>
      </c>
      <c r="Y57" s="346">
        <f t="shared" si="47"/>
        <v>17625.497204710933</v>
      </c>
      <c r="Z57" s="347">
        <f t="shared" si="47"/>
        <v>14932.287194999994</v>
      </c>
      <c r="AA57" s="347">
        <f t="shared" si="47"/>
        <v>14932.287194999994</v>
      </c>
      <c r="AB57" s="348">
        <f t="shared" si="47"/>
        <v>50084.287194999997</v>
      </c>
      <c r="AC57" s="346">
        <f t="shared" si="47"/>
        <v>17889.879662781594</v>
      </c>
      <c r="AD57" s="347">
        <f t="shared" si="47"/>
        <v>15156.271502924992</v>
      </c>
      <c r="AE57" s="347">
        <f t="shared" si="47"/>
        <v>15156.271502924992</v>
      </c>
      <c r="AF57" s="348">
        <f t="shared" si="47"/>
        <v>51714.351502924997</v>
      </c>
      <c r="AG57" s="346">
        <f t="shared" si="47"/>
        <v>18158.227857723316</v>
      </c>
      <c r="AH57" s="347">
        <f t="shared" si="47"/>
        <v>15383.615575468866</v>
      </c>
      <c r="AI57" s="347">
        <f t="shared" si="47"/>
        <v>15383.615575468866</v>
      </c>
      <c r="AJ57" s="348">
        <f t="shared" si="47"/>
        <v>53404.018775468867</v>
      </c>
      <c r="AK57" s="346">
        <f t="shared" ref="AK57:BT57" si="48">SUM(AK52:AK56)</f>
        <v>18430.601275589164</v>
      </c>
      <c r="AL57" s="347">
        <f t="shared" si="48"/>
        <v>15614.369809100896</v>
      </c>
      <c r="AM57" s="347">
        <f t="shared" si="48"/>
        <v>15614.369809100896</v>
      </c>
      <c r="AN57" s="348">
        <f t="shared" si="48"/>
        <v>55155.589137100891</v>
      </c>
      <c r="AO57" s="346">
        <f t="shared" si="48"/>
        <v>18707.060294722996</v>
      </c>
      <c r="AP57" s="347">
        <f t="shared" si="48"/>
        <v>15848.585356237405</v>
      </c>
      <c r="AQ57" s="347">
        <f t="shared" si="48"/>
        <v>15848.585356237405</v>
      </c>
      <c r="AR57" s="348">
        <f t="shared" si="48"/>
        <v>56971.453457357406</v>
      </c>
      <c r="AS57" s="346">
        <f t="shared" si="48"/>
        <v>18987.666199143841</v>
      </c>
      <c r="AT57" s="347">
        <f t="shared" si="48"/>
        <v>16086.314136580966</v>
      </c>
      <c r="AU57" s="347">
        <f t="shared" si="48"/>
        <v>16086.314136580966</v>
      </c>
      <c r="AV57" s="348">
        <f t="shared" si="48"/>
        <v>58854.096961745767</v>
      </c>
      <c r="AW57" s="346">
        <f t="shared" si="48"/>
        <v>19272.481192130996</v>
      </c>
      <c r="AX57" s="347">
        <f t="shared" si="48"/>
        <v>16327.608848629678</v>
      </c>
      <c r="AY57" s="347">
        <f t="shared" si="48"/>
        <v>16327.608848629678</v>
      </c>
      <c r="AZ57" s="348">
        <f t="shared" si="48"/>
        <v>60806.102986801074</v>
      </c>
      <c r="BA57" s="346">
        <f t="shared" si="48"/>
        <v>19561.568410012958</v>
      </c>
      <c r="BB57" s="347">
        <f t="shared" si="48"/>
        <v>16572.522981359121</v>
      </c>
      <c r="BC57" s="347">
        <f t="shared" si="48"/>
        <v>16572.522981359121</v>
      </c>
      <c r="BD57" s="348">
        <f t="shared" si="48"/>
        <v>62830.156885057375</v>
      </c>
      <c r="BE57" s="346">
        <f t="shared" si="48"/>
        <v>19854.991936163155</v>
      </c>
      <c r="BF57" s="347">
        <f t="shared" si="48"/>
        <v>16821.110826079508</v>
      </c>
      <c r="BG57" s="347">
        <f t="shared" si="48"/>
        <v>16821.110826079508</v>
      </c>
      <c r="BH57" s="348">
        <f t="shared" si="48"/>
        <v>64929.050085925694</v>
      </c>
      <c r="BI57" s="346">
        <f t="shared" si="48"/>
        <v>20152.816815205595</v>
      </c>
      <c r="BJ57" s="347">
        <f t="shared" si="48"/>
        <v>17073.427488470694</v>
      </c>
      <c r="BK57" s="347">
        <f t="shared" si="48"/>
        <v>17073.427488470694</v>
      </c>
      <c r="BL57" s="348">
        <f t="shared" si="48"/>
        <v>67105.68431871073</v>
      </c>
      <c r="BM57" s="346">
        <f t="shared" si="48"/>
        <v>20199.007655106619</v>
      </c>
      <c r="BN57" s="347">
        <f t="shared" si="48"/>
        <v>17073.427488470694</v>
      </c>
      <c r="BO57" s="347">
        <f t="shared" si="48"/>
        <v>17073.427488470694</v>
      </c>
      <c r="BP57" s="348">
        <f t="shared" si="48"/>
        <v>69106.974591920327</v>
      </c>
      <c r="BQ57" s="346">
        <f t="shared" si="48"/>
        <v>20245.891357606157</v>
      </c>
      <c r="BR57" s="347">
        <f t="shared" si="48"/>
        <v>17073.427488470694</v>
      </c>
      <c r="BS57" s="347">
        <f t="shared" si="48"/>
        <v>17073.427488470694</v>
      </c>
      <c r="BT57" s="348">
        <f t="shared" si="48"/>
        <v>71188.316476058317</v>
      </c>
    </row>
    <row r="58" spans="2:72" s="345" customFormat="1" ht="15.75" customHeight="1" thickBot="1" x14ac:dyDescent="0.3">
      <c r="B58" s="501" t="s">
        <v>206</v>
      </c>
      <c r="C58" s="501"/>
      <c r="D58" s="501"/>
      <c r="E58" s="343">
        <f t="shared" ref="E58:AJ58" si="49">(E52+E53+E54)*0.2</f>
        <v>0</v>
      </c>
      <c r="F58" s="343">
        <f t="shared" si="49"/>
        <v>0</v>
      </c>
      <c r="G58" s="343">
        <f t="shared" si="49"/>
        <v>0</v>
      </c>
      <c r="H58" s="348">
        <f t="shared" si="49"/>
        <v>0</v>
      </c>
      <c r="I58" s="361">
        <f t="shared" si="49"/>
        <v>0</v>
      </c>
      <c r="J58" s="343">
        <f t="shared" si="49"/>
        <v>0</v>
      </c>
      <c r="K58" s="343">
        <f t="shared" si="49"/>
        <v>0</v>
      </c>
      <c r="L58" s="348">
        <f t="shared" si="49"/>
        <v>0</v>
      </c>
      <c r="M58" s="361">
        <f t="shared" si="49"/>
        <v>2856</v>
      </c>
      <c r="N58" s="343">
        <f t="shared" si="49"/>
        <v>2856</v>
      </c>
      <c r="O58" s="343">
        <f t="shared" si="49"/>
        <v>2856</v>
      </c>
      <c r="P58" s="348">
        <f t="shared" si="49"/>
        <v>9106</v>
      </c>
      <c r="Q58" s="361">
        <f t="shared" si="49"/>
        <v>2898.84</v>
      </c>
      <c r="R58" s="343">
        <f t="shared" si="49"/>
        <v>2898.84</v>
      </c>
      <c r="S58" s="343">
        <f t="shared" si="49"/>
        <v>2898.84</v>
      </c>
      <c r="T58" s="348">
        <f t="shared" si="49"/>
        <v>9398.84</v>
      </c>
      <c r="U58" s="361">
        <f t="shared" si="49"/>
        <v>2942.3225999999995</v>
      </c>
      <c r="V58" s="343">
        <f t="shared" si="49"/>
        <v>2942.3225999999995</v>
      </c>
      <c r="W58" s="343">
        <f t="shared" si="49"/>
        <v>2942.3225999999995</v>
      </c>
      <c r="X58" s="348">
        <f t="shared" si="49"/>
        <v>9702.3225999999995</v>
      </c>
      <c r="Y58" s="361">
        <f t="shared" si="49"/>
        <v>2986.4574389999989</v>
      </c>
      <c r="Z58" s="343">
        <f t="shared" si="49"/>
        <v>2986.4574389999989</v>
      </c>
      <c r="AA58" s="343">
        <f t="shared" si="49"/>
        <v>2986.4574389999989</v>
      </c>
      <c r="AB58" s="348">
        <f t="shared" si="49"/>
        <v>10016.857438999999</v>
      </c>
      <c r="AC58" s="361">
        <f t="shared" si="49"/>
        <v>3031.2543005849984</v>
      </c>
      <c r="AD58" s="343">
        <f t="shared" si="49"/>
        <v>3031.2543005849984</v>
      </c>
      <c r="AE58" s="343">
        <f t="shared" si="49"/>
        <v>3031.2543005849984</v>
      </c>
      <c r="AF58" s="348">
        <f t="shared" si="49"/>
        <v>10342.870300585</v>
      </c>
      <c r="AG58" s="361">
        <f t="shared" si="49"/>
        <v>3076.7231150937732</v>
      </c>
      <c r="AH58" s="343">
        <f t="shared" si="49"/>
        <v>3076.7231150937732</v>
      </c>
      <c r="AI58" s="343">
        <f t="shared" si="49"/>
        <v>3076.7231150937732</v>
      </c>
      <c r="AJ58" s="348">
        <f t="shared" si="49"/>
        <v>10680.803755093773</v>
      </c>
      <c r="AK58" s="361">
        <f t="shared" ref="AK58:BT58" si="50">(AK52+AK53+AK54)*0.2</f>
        <v>3122.8739618201794</v>
      </c>
      <c r="AL58" s="343">
        <f t="shared" si="50"/>
        <v>3122.8739618201794</v>
      </c>
      <c r="AM58" s="343">
        <f t="shared" si="50"/>
        <v>3122.8739618201794</v>
      </c>
      <c r="AN58" s="348">
        <f t="shared" si="50"/>
        <v>11031.117827420179</v>
      </c>
      <c r="AO58" s="361">
        <f t="shared" si="50"/>
        <v>3169.7170712474813</v>
      </c>
      <c r="AP58" s="343">
        <f t="shared" si="50"/>
        <v>3169.7170712474813</v>
      </c>
      <c r="AQ58" s="343">
        <f t="shared" si="50"/>
        <v>3169.7170712474813</v>
      </c>
      <c r="AR58" s="348">
        <f t="shared" si="50"/>
        <v>11394.290691471482</v>
      </c>
      <c r="AS58" s="361">
        <f t="shared" si="50"/>
        <v>3217.2628273161936</v>
      </c>
      <c r="AT58" s="343">
        <f t="shared" si="50"/>
        <v>3217.2628273161936</v>
      </c>
      <c r="AU58" s="343">
        <f t="shared" si="50"/>
        <v>3217.2628273161936</v>
      </c>
      <c r="AV58" s="348">
        <f t="shared" si="50"/>
        <v>11770.819392349154</v>
      </c>
      <c r="AW58" s="361">
        <f t="shared" si="50"/>
        <v>3265.5217697259359</v>
      </c>
      <c r="AX58" s="343">
        <f t="shared" si="50"/>
        <v>3265.5217697259359</v>
      </c>
      <c r="AY58" s="343">
        <f t="shared" si="50"/>
        <v>3265.5217697259359</v>
      </c>
      <c r="AZ58" s="348">
        <f t="shared" si="50"/>
        <v>12161.220597360216</v>
      </c>
      <c r="BA58" s="361">
        <f t="shared" si="50"/>
        <v>3314.5045962718245</v>
      </c>
      <c r="BB58" s="343">
        <f t="shared" si="50"/>
        <v>3314.5045962718245</v>
      </c>
      <c r="BC58" s="343">
        <f t="shared" si="50"/>
        <v>3314.5045962718245</v>
      </c>
      <c r="BD58" s="348">
        <f t="shared" si="50"/>
        <v>12566.031377011475</v>
      </c>
      <c r="BE58" s="361">
        <f t="shared" si="50"/>
        <v>3364.2221652159019</v>
      </c>
      <c r="BF58" s="343">
        <f t="shared" si="50"/>
        <v>3364.2221652159019</v>
      </c>
      <c r="BG58" s="343">
        <f t="shared" si="50"/>
        <v>3364.2221652159019</v>
      </c>
      <c r="BH58" s="348">
        <f t="shared" si="50"/>
        <v>12985.81001718514</v>
      </c>
      <c r="BI58" s="361">
        <f t="shared" si="50"/>
        <v>3414.685497694139</v>
      </c>
      <c r="BJ58" s="343">
        <f t="shared" si="50"/>
        <v>3414.685497694139</v>
      </c>
      <c r="BK58" s="343">
        <f t="shared" si="50"/>
        <v>3414.685497694139</v>
      </c>
      <c r="BL58" s="348">
        <f t="shared" si="50"/>
        <v>13421.136863742147</v>
      </c>
      <c r="BM58" s="361">
        <f t="shared" si="50"/>
        <v>3414.685497694139</v>
      </c>
      <c r="BN58" s="343">
        <f t="shared" si="50"/>
        <v>3414.685497694139</v>
      </c>
      <c r="BO58" s="343">
        <f t="shared" si="50"/>
        <v>3414.685497694139</v>
      </c>
      <c r="BP58" s="348">
        <f t="shared" si="50"/>
        <v>13821.394918384067</v>
      </c>
      <c r="BQ58" s="361">
        <f t="shared" si="50"/>
        <v>3414.685497694139</v>
      </c>
      <c r="BR58" s="343">
        <f t="shared" si="50"/>
        <v>3414.685497694139</v>
      </c>
      <c r="BS58" s="343">
        <f t="shared" si="50"/>
        <v>3414.685497694139</v>
      </c>
      <c r="BT58" s="348">
        <f t="shared" si="50"/>
        <v>14237.663295211663</v>
      </c>
    </row>
    <row r="59" spans="2:72" s="345" customFormat="1" ht="19.5" customHeight="1" thickBot="1" x14ac:dyDescent="0.35">
      <c r="B59" s="503" t="s">
        <v>207</v>
      </c>
      <c r="C59" s="503"/>
      <c r="D59" s="503"/>
      <c r="E59" s="346">
        <f t="shared" ref="E59:AJ59" si="51">E57+E58</f>
        <v>2500</v>
      </c>
      <c r="F59" s="347">
        <f t="shared" si="51"/>
        <v>0</v>
      </c>
      <c r="G59" s="347">
        <f t="shared" si="51"/>
        <v>0</v>
      </c>
      <c r="H59" s="348">
        <f t="shared" si="51"/>
        <v>0</v>
      </c>
      <c r="I59" s="346">
        <f t="shared" si="51"/>
        <v>2537.5</v>
      </c>
      <c r="J59" s="347">
        <f t="shared" si="51"/>
        <v>0</v>
      </c>
      <c r="K59" s="347">
        <f t="shared" si="51"/>
        <v>0</v>
      </c>
      <c r="L59" s="348">
        <f t="shared" si="51"/>
        <v>0</v>
      </c>
      <c r="M59" s="346">
        <f t="shared" si="51"/>
        <v>19711.5625</v>
      </c>
      <c r="N59" s="347">
        <f t="shared" si="51"/>
        <v>17136</v>
      </c>
      <c r="O59" s="347">
        <f t="shared" si="51"/>
        <v>17136</v>
      </c>
      <c r="P59" s="348">
        <f t="shared" si="51"/>
        <v>54636</v>
      </c>
      <c r="Q59" s="346">
        <f t="shared" si="51"/>
        <v>20007.235937500001</v>
      </c>
      <c r="R59" s="347">
        <f t="shared" si="51"/>
        <v>17393.04</v>
      </c>
      <c r="S59" s="347">
        <f t="shared" si="51"/>
        <v>17393.04</v>
      </c>
      <c r="T59" s="348">
        <f t="shared" si="51"/>
        <v>56393.039999999994</v>
      </c>
      <c r="U59" s="346">
        <f t="shared" si="51"/>
        <v>20307.344476562495</v>
      </c>
      <c r="V59" s="347">
        <f t="shared" si="51"/>
        <v>17653.935599999997</v>
      </c>
      <c r="W59" s="347">
        <f t="shared" si="51"/>
        <v>17653.935599999997</v>
      </c>
      <c r="X59" s="348">
        <f t="shared" si="51"/>
        <v>58213.935599999997</v>
      </c>
      <c r="Y59" s="346">
        <f t="shared" si="51"/>
        <v>20611.954643710931</v>
      </c>
      <c r="Z59" s="347">
        <f t="shared" si="51"/>
        <v>17918.744633999991</v>
      </c>
      <c r="AA59" s="347">
        <f t="shared" si="51"/>
        <v>17918.744633999991</v>
      </c>
      <c r="AB59" s="348">
        <f t="shared" si="51"/>
        <v>60101.144633999997</v>
      </c>
      <c r="AC59" s="346">
        <f t="shared" si="51"/>
        <v>20921.133963366592</v>
      </c>
      <c r="AD59" s="347">
        <f t="shared" si="51"/>
        <v>18187.525803509991</v>
      </c>
      <c r="AE59" s="347">
        <f t="shared" si="51"/>
        <v>18187.525803509991</v>
      </c>
      <c r="AF59" s="348">
        <f t="shared" si="51"/>
        <v>62057.221803509994</v>
      </c>
      <c r="AG59" s="346">
        <f t="shared" si="51"/>
        <v>21234.950972817089</v>
      </c>
      <c r="AH59" s="347">
        <f t="shared" si="51"/>
        <v>18460.338690562639</v>
      </c>
      <c r="AI59" s="347">
        <f t="shared" si="51"/>
        <v>18460.338690562639</v>
      </c>
      <c r="AJ59" s="348">
        <f t="shared" si="51"/>
        <v>64084.82253056264</v>
      </c>
      <c r="AK59" s="346">
        <f t="shared" ref="AK59:BT59" si="52">AK57+AK58</f>
        <v>21553.475237409344</v>
      </c>
      <c r="AL59" s="347">
        <f t="shared" si="52"/>
        <v>18737.243770921075</v>
      </c>
      <c r="AM59" s="347">
        <f t="shared" si="52"/>
        <v>18737.243770921075</v>
      </c>
      <c r="AN59" s="348">
        <f t="shared" si="52"/>
        <v>66186.706964521072</v>
      </c>
      <c r="AO59" s="346">
        <f t="shared" si="52"/>
        <v>21876.777365970476</v>
      </c>
      <c r="AP59" s="347">
        <f t="shared" si="52"/>
        <v>19018.302427484887</v>
      </c>
      <c r="AQ59" s="347">
        <f t="shared" si="52"/>
        <v>19018.302427484887</v>
      </c>
      <c r="AR59" s="348">
        <f t="shared" si="52"/>
        <v>68365.74414882889</v>
      </c>
      <c r="AS59" s="346">
        <f t="shared" si="52"/>
        <v>22204.929026460035</v>
      </c>
      <c r="AT59" s="347">
        <f t="shared" si="52"/>
        <v>19303.576963897161</v>
      </c>
      <c r="AU59" s="347">
        <f t="shared" si="52"/>
        <v>19303.576963897161</v>
      </c>
      <c r="AV59" s="348">
        <f t="shared" si="52"/>
        <v>70624.916354094923</v>
      </c>
      <c r="AW59" s="346">
        <f t="shared" si="52"/>
        <v>22538.002961856932</v>
      </c>
      <c r="AX59" s="347">
        <f t="shared" si="52"/>
        <v>19593.130618355615</v>
      </c>
      <c r="AY59" s="347">
        <f t="shared" si="52"/>
        <v>19593.130618355615</v>
      </c>
      <c r="AZ59" s="348">
        <f t="shared" si="52"/>
        <v>72967.323584161291</v>
      </c>
      <c r="BA59" s="346">
        <f t="shared" si="52"/>
        <v>22876.073006284783</v>
      </c>
      <c r="BB59" s="347">
        <f t="shared" si="52"/>
        <v>19887.027577630946</v>
      </c>
      <c r="BC59" s="347">
        <f t="shared" si="52"/>
        <v>19887.027577630946</v>
      </c>
      <c r="BD59" s="348">
        <f t="shared" si="52"/>
        <v>75396.188262068856</v>
      </c>
      <c r="BE59" s="346">
        <f t="shared" si="52"/>
        <v>23219.214101379057</v>
      </c>
      <c r="BF59" s="347">
        <f t="shared" si="52"/>
        <v>20185.33299129541</v>
      </c>
      <c r="BG59" s="347">
        <f t="shared" si="52"/>
        <v>20185.33299129541</v>
      </c>
      <c r="BH59" s="348">
        <f t="shared" si="52"/>
        <v>77914.860103110841</v>
      </c>
      <c r="BI59" s="346">
        <f t="shared" si="52"/>
        <v>23567.502312899735</v>
      </c>
      <c r="BJ59" s="347">
        <f t="shared" si="52"/>
        <v>20488.112986164833</v>
      </c>
      <c r="BK59" s="347">
        <f t="shared" si="52"/>
        <v>20488.112986164833</v>
      </c>
      <c r="BL59" s="348">
        <f t="shared" si="52"/>
        <v>80526.82118245287</v>
      </c>
      <c r="BM59" s="346">
        <f t="shared" si="52"/>
        <v>23613.693152800759</v>
      </c>
      <c r="BN59" s="347">
        <f t="shared" si="52"/>
        <v>20488.112986164833</v>
      </c>
      <c r="BO59" s="347">
        <f t="shared" si="52"/>
        <v>20488.112986164833</v>
      </c>
      <c r="BP59" s="348">
        <f t="shared" si="52"/>
        <v>82928.369510304386</v>
      </c>
      <c r="BQ59" s="346">
        <f t="shared" si="52"/>
        <v>23660.576855300296</v>
      </c>
      <c r="BR59" s="347">
        <f t="shared" si="52"/>
        <v>20488.112986164833</v>
      </c>
      <c r="BS59" s="347">
        <f t="shared" si="52"/>
        <v>20488.112986164833</v>
      </c>
      <c r="BT59" s="348">
        <f t="shared" si="52"/>
        <v>85425.97977126998</v>
      </c>
    </row>
    <row r="60" spans="2:72" s="356" customFormat="1" ht="15.75" customHeight="1" thickBot="1" x14ac:dyDescent="0.3">
      <c r="E60" s="357"/>
      <c r="F60" s="365"/>
      <c r="G60" s="365"/>
      <c r="H60" s="365"/>
      <c r="I60" s="365"/>
      <c r="J60" s="365"/>
      <c r="K60" s="365"/>
      <c r="L60" s="365"/>
      <c r="M60" s="365"/>
      <c r="N60" s="357"/>
      <c r="O60" s="357"/>
      <c r="AO60" s="366"/>
      <c r="AP60" s="366"/>
      <c r="AQ60" s="366"/>
      <c r="AR60" s="366"/>
      <c r="AS60" s="366"/>
      <c r="AT60" s="366"/>
      <c r="AU60" s="366"/>
      <c r="AV60" s="366"/>
      <c r="AW60" s="366"/>
      <c r="AX60" s="366"/>
      <c r="AY60" s="366"/>
      <c r="AZ60" s="366"/>
      <c r="BA60" s="366"/>
      <c r="BB60" s="366"/>
      <c r="BC60" s="366"/>
      <c r="BD60" s="366"/>
      <c r="BE60" s="366"/>
      <c r="BF60" s="366"/>
      <c r="BG60" s="366"/>
      <c r="BH60" s="366"/>
      <c r="BI60" s="366"/>
      <c r="BJ60" s="366"/>
      <c r="BK60" s="366"/>
      <c r="BL60" s="366"/>
    </row>
    <row r="61" spans="2:72" s="326" customFormat="1" ht="15.75" customHeight="1" x14ac:dyDescent="0.25">
      <c r="B61" s="327"/>
      <c r="C61" s="328"/>
      <c r="D61" s="329" t="s">
        <v>208</v>
      </c>
      <c r="E61" s="330"/>
      <c r="F61" s="331"/>
      <c r="G61" s="331"/>
      <c r="H61" s="332"/>
      <c r="I61" s="330"/>
      <c r="J61" s="331"/>
      <c r="K61" s="331"/>
      <c r="L61" s="332"/>
      <c r="M61" s="330"/>
      <c r="N61" s="331"/>
      <c r="O61" s="331"/>
      <c r="P61" s="332"/>
      <c r="Q61" s="330"/>
      <c r="R61" s="331"/>
      <c r="S61" s="331"/>
      <c r="T61" s="332"/>
      <c r="U61" s="330"/>
      <c r="V61" s="331"/>
      <c r="W61" s="331"/>
      <c r="X61" s="332"/>
      <c r="Y61" s="330"/>
      <c r="Z61" s="331"/>
      <c r="AA61" s="331"/>
      <c r="AB61" s="332"/>
      <c r="AC61" s="330"/>
      <c r="AD61" s="331"/>
      <c r="AE61" s="331"/>
      <c r="AF61" s="332"/>
      <c r="AG61" s="330"/>
      <c r="AH61" s="331"/>
      <c r="AI61" s="331"/>
      <c r="AJ61" s="332"/>
      <c r="AK61" s="330"/>
      <c r="AL61" s="331"/>
      <c r="AM61" s="331"/>
      <c r="AN61" s="332"/>
      <c r="AO61" s="330"/>
      <c r="AP61" s="331"/>
      <c r="AQ61" s="331"/>
      <c r="AR61" s="332"/>
      <c r="AS61" s="330"/>
      <c r="AT61" s="331"/>
      <c r="AU61" s="331"/>
      <c r="AV61" s="332"/>
      <c r="AW61" s="330"/>
      <c r="AX61" s="331"/>
      <c r="AY61" s="331"/>
      <c r="AZ61" s="332"/>
      <c r="BA61" s="330"/>
      <c r="BB61" s="331"/>
      <c r="BC61" s="331"/>
      <c r="BD61" s="332"/>
      <c r="BE61" s="330"/>
      <c r="BF61" s="331"/>
      <c r="BG61" s="331"/>
      <c r="BH61" s="332"/>
      <c r="BI61" s="330"/>
      <c r="BJ61" s="331"/>
      <c r="BK61" s="331"/>
      <c r="BL61" s="332"/>
      <c r="BM61" s="330"/>
      <c r="BN61" s="331"/>
      <c r="BO61" s="331"/>
      <c r="BP61" s="332"/>
      <c r="BQ61" s="330"/>
      <c r="BR61" s="331"/>
      <c r="BS61" s="331"/>
      <c r="BT61" s="332"/>
    </row>
    <row r="62" spans="2:72" s="339" customFormat="1" x14ac:dyDescent="0.25">
      <c r="B62" s="340"/>
      <c r="C62" s="341"/>
      <c r="D62" s="334" t="s">
        <v>209</v>
      </c>
      <c r="E62" s="342"/>
      <c r="F62" s="343"/>
      <c r="G62" s="343"/>
      <c r="H62" s="344"/>
      <c r="I62" s="342"/>
      <c r="J62" s="343"/>
      <c r="K62" s="343"/>
      <c r="L62" s="344">
        <f>'Plan de financement_input immo '!B44</f>
        <v>0</v>
      </c>
      <c r="M62" s="342"/>
      <c r="N62" s="343"/>
      <c r="O62" s="343"/>
      <c r="P62" s="344">
        <f>'Plan de financement_input immo '!$B$45</f>
        <v>0</v>
      </c>
      <c r="Q62" s="342"/>
      <c r="R62" s="343"/>
      <c r="S62" s="343"/>
      <c r="T62" s="344">
        <f>'Plan de financement_input immo '!$B$45</f>
        <v>0</v>
      </c>
      <c r="U62" s="342"/>
      <c r="V62" s="343"/>
      <c r="W62" s="343"/>
      <c r="X62" s="344">
        <f>'Plan de financement_input immo '!$B$45</f>
        <v>0</v>
      </c>
      <c r="Y62" s="342"/>
      <c r="Z62" s="343"/>
      <c r="AA62" s="343"/>
      <c r="AB62" s="344">
        <f>'Plan de financement_input immo '!$B$45</f>
        <v>0</v>
      </c>
      <c r="AC62" s="342"/>
      <c r="AD62" s="343"/>
      <c r="AE62" s="343"/>
      <c r="AF62" s="344">
        <f>'Plan de financement_input immo '!$B$45</f>
        <v>0</v>
      </c>
      <c r="AG62" s="342"/>
      <c r="AH62" s="343"/>
      <c r="AI62" s="343"/>
      <c r="AJ62" s="344">
        <f>'Plan de financement_input immo '!$B$45</f>
        <v>0</v>
      </c>
      <c r="AK62" s="342"/>
      <c r="AL62" s="343"/>
      <c r="AM62" s="361"/>
      <c r="AN62" s="344">
        <f>'Plan de financement_input immo '!$B$45</f>
        <v>0</v>
      </c>
      <c r="AO62" s="342"/>
      <c r="AP62" s="343"/>
      <c r="AQ62" s="343"/>
      <c r="AR62" s="344">
        <f>'Plan de financement_input immo '!$B$45</f>
        <v>0</v>
      </c>
      <c r="AS62" s="342"/>
      <c r="AT62" s="343"/>
      <c r="AU62" s="343"/>
      <c r="AV62" s="344">
        <f>'Plan de financement_input immo '!$B$45</f>
        <v>0</v>
      </c>
      <c r="AW62" s="342"/>
      <c r="AX62" s="343"/>
      <c r="AY62" s="343"/>
      <c r="AZ62" s="355">
        <f>'Plan de financement_input immo '!$B$45</f>
        <v>0</v>
      </c>
      <c r="BA62" s="342"/>
      <c r="BB62" s="343"/>
      <c r="BC62" s="343"/>
      <c r="BD62" s="344">
        <f>'Plan de financement_input immo '!$B$45</f>
        <v>0</v>
      </c>
      <c r="BE62" s="342"/>
      <c r="BF62" s="343"/>
      <c r="BG62" s="343"/>
      <c r="BH62" s="344">
        <f>'Plan de financement_input immo '!$B$45</f>
        <v>0</v>
      </c>
      <c r="BI62" s="342"/>
      <c r="BJ62" s="343"/>
      <c r="BK62" s="343"/>
      <c r="BL62" s="344">
        <f>'Plan de financement_input immo '!$B$45</f>
        <v>0</v>
      </c>
      <c r="BM62" s="342"/>
      <c r="BN62" s="343"/>
      <c r="BO62" s="361"/>
      <c r="BP62" s="344">
        <f>'Plan de financement_input immo '!$B$45</f>
        <v>0</v>
      </c>
      <c r="BQ62" s="342"/>
      <c r="BR62" s="343"/>
      <c r="BS62" s="343"/>
      <c r="BT62" s="355">
        <f>'Plan de financement_input immo '!$B$45</f>
        <v>0</v>
      </c>
    </row>
    <row r="63" spans="2:72" s="339" customFormat="1" x14ac:dyDescent="0.25">
      <c r="B63" s="340"/>
      <c r="C63" s="474"/>
      <c r="D63" s="334" t="s">
        <v>349</v>
      </c>
      <c r="E63" s="342">
        <f ca="1">-'Echéancier St Loup Naud'!D8</f>
        <v>31065.243407707912</v>
      </c>
      <c r="F63" s="343">
        <f>-'Echéancier St Loup Naud'!E8</f>
        <v>26778.964883367138</v>
      </c>
      <c r="G63" s="343">
        <f>-'Echéancier St Loup Naud'!F8</f>
        <v>26778.964883367138</v>
      </c>
      <c r="H63" s="344">
        <f>-'Echéancier St Loup Naud'!G8</f>
        <v>26778.964883367138</v>
      </c>
      <c r="I63" s="342">
        <f>-'Echéancier St Loup Naud'!H8</f>
        <v>26778.964883367138</v>
      </c>
      <c r="J63" s="343">
        <f>-'Echéancier St Loup Naud'!I8</f>
        <v>26778.964883367138</v>
      </c>
      <c r="K63" s="343">
        <f>-'Echéancier St Loup Naud'!J8</f>
        <v>26778.964883367138</v>
      </c>
      <c r="L63" s="344">
        <f>-'Echéancier St Loup Naud'!K8</f>
        <v>26778.964883367138</v>
      </c>
      <c r="M63" s="342">
        <f ca="1">-'Echéancier St Loup Naud'!L8</f>
        <v>31065.243407707912</v>
      </c>
      <c r="N63" s="343">
        <f ca="1">-'Echéancier St Loup Naud'!M8</f>
        <v>30768.564353021098</v>
      </c>
      <c r="O63" s="343">
        <f ca="1">-'Echéancier St Loup Naud'!N8</f>
        <v>30468.918507787414</v>
      </c>
      <c r="P63" s="344">
        <f ca="1">-'Echéancier St Loup Naud'!O8</f>
        <v>30166.276204101396</v>
      </c>
      <c r="Q63" s="342">
        <f ca="1">-'Echéancier St Loup Naud'!P8</f>
        <v>29860.607477378519</v>
      </c>
      <c r="R63" s="343">
        <f ca="1">-'Echéancier St Loup Naud'!Q8</f>
        <v>29551.882063388417</v>
      </c>
      <c r="S63" s="343">
        <f ca="1">-'Echéancier St Loup Naud'!R8</f>
        <v>29240.069395258404</v>
      </c>
      <c r="T63" s="344">
        <f ca="1">-'Echéancier St Loup Naud'!S8</f>
        <v>28925.138600447095</v>
      </c>
      <c r="U63" s="342">
        <f ca="1">-'Echéancier St Loup Naud'!T8</f>
        <v>28607.058497687678</v>
      </c>
      <c r="V63" s="343">
        <f ca="1">-'Echéancier St Loup Naud'!U8</f>
        <v>28285.797593900665</v>
      </c>
      <c r="W63" s="343">
        <f ca="1">-'Echéancier St Loup Naud'!V8</f>
        <v>27961.324081075774</v>
      </c>
      <c r="X63" s="344">
        <f ca="1">-'Echéancier St Loup Naud'!W8</f>
        <v>27633.605833122638</v>
      </c>
      <c r="Y63" s="342">
        <f ca="1">-'Echéancier St Loup Naud'!X8</f>
        <v>27302.610402689977</v>
      </c>
      <c r="Z63" s="343">
        <f ca="1">-'Echéancier St Loup Naud'!Y8</f>
        <v>26968.305017952986</v>
      </c>
      <c r="AA63" s="343">
        <f ca="1">-'Echéancier St Loup Naud'!Z8</f>
        <v>26630.656579368617</v>
      </c>
      <c r="AB63" s="355">
        <f ca="1">-'Echéancier St Loup Naud'!AA8</f>
        <v>26289.631656398415</v>
      </c>
      <c r="AC63" s="342">
        <f ca="1">-'Echéancier St Loup Naud'!AB8</f>
        <v>25945.196484198503</v>
      </c>
      <c r="AD63" s="343">
        <f ca="1">-'Echéancier St Loup Naud'!AC8</f>
        <v>25597.316960276599</v>
      </c>
      <c r="AE63" s="343">
        <f ca="1">-'Echéancier St Loup Naud'!AD8</f>
        <v>25245.958641115474</v>
      </c>
      <c r="AF63" s="355">
        <f ca="1">-'Echéancier St Loup Naud'!AE8</f>
        <v>24891.086738762737</v>
      </c>
      <c r="AG63" s="342">
        <f ca="1">-'Echéancier St Loup Naud'!AF8</f>
        <v>24532.666117386478</v>
      </c>
      <c r="AH63" s="343">
        <f ca="1">-'Echéancier St Loup Naud'!AG8</f>
        <v>24170.661289796448</v>
      </c>
      <c r="AI63" s="343">
        <f ca="1">-'Echéancier St Loup Naud'!AH8</f>
        <v>23805.03641393052</v>
      </c>
      <c r="AJ63" s="355">
        <f ca="1">-'Echéancier St Loup Naud'!AI8</f>
        <v>23435.755289305933</v>
      </c>
      <c r="AK63" s="342">
        <f ca="1">-'Echéancier St Loup Naud'!AJ8</f>
        <v>23062.781353435097</v>
      </c>
      <c r="AL63" s="343">
        <f ca="1">-'Echéancier St Loup Naud'!AK8</f>
        <v>22686.077678205555</v>
      </c>
      <c r="AM63" s="343">
        <f ca="1">-'Echéancier St Loup Naud'!AL8</f>
        <v>22305.606966223713</v>
      </c>
      <c r="AN63" s="355">
        <f ca="1">-'Echéancier St Loup Naud'!AM8</f>
        <v>21921.331547122063</v>
      </c>
      <c r="AO63" s="342">
        <f ca="1">-'Echéancier St Loup Naud'!AN8</f>
        <v>21533.213373829392</v>
      </c>
      <c r="AP63" s="343">
        <f ca="1">-'Echéancier St Loup Naud'!AO8</f>
        <v>21141.214018803788</v>
      </c>
      <c r="AQ63" s="343">
        <f ca="1">-'Echéancier St Loup Naud'!AP8</f>
        <v>20745.294670227941</v>
      </c>
      <c r="AR63" s="355">
        <f ca="1">-'Echéancier St Loup Naud'!AQ8</f>
        <v>20345.416128166329</v>
      </c>
      <c r="AS63" s="342">
        <f ca="1">-'Echéancier St Loup Naud'!AR8</f>
        <v>19941.538800684095</v>
      </c>
      <c r="AT63" s="343">
        <f ca="1">-'Echéancier St Loup Naud'!AS8</f>
        <v>19533.622699927044</v>
      </c>
      <c r="AU63" s="343">
        <f ca="1">-'Echéancier St Loup Naud'!AT8</f>
        <v>19121.627438162424</v>
      </c>
      <c r="AV63" s="355">
        <f ca="1">-'Echéancier St Loup Naud'!AU8</f>
        <v>18705.512223780159</v>
      </c>
      <c r="AW63" s="342">
        <f ca="1">-'Echéancier St Loup Naud'!AV8</f>
        <v>18285.235857254065</v>
      </c>
      <c r="AX63" s="343">
        <f ca="1">-'Echéancier St Loup Naud'!AW8</f>
        <v>17860.756727062711</v>
      </c>
      <c r="AY63" s="343">
        <f ca="1">-'Echéancier St Loup Naud'!AX8</f>
        <v>17432.032805569452</v>
      </c>
      <c r="AZ63" s="355">
        <f ca="1">-'Echéancier St Loup Naud'!AY8</f>
        <v>16999.021644861252</v>
      </c>
      <c r="BA63" s="342">
        <f ca="1">-'Echéancier St Loup Naud'!AZ8</f>
        <v>16561.680372545969</v>
      </c>
      <c r="BB63" s="343">
        <f ca="1">-'Echéancier St Loup Naud'!BA8</f>
        <v>16119.965687507538</v>
      </c>
      <c r="BC63" s="343">
        <f ca="1">-'Echéancier St Loup Naud'!BB8</f>
        <v>15673.833855618719</v>
      </c>
      <c r="BD63" s="355">
        <f ca="1">-'Echéancier St Loup Naud'!BC8</f>
        <v>15223.240705411017</v>
      </c>
      <c r="BE63" s="342">
        <f ca="1">-'Echéancier St Loup Naud'!BD8</f>
        <v>14768.141623701234</v>
      </c>
      <c r="BF63" s="343">
        <f ca="1">-'Echéancier St Loup Naud'!BE8</f>
        <v>14308.491551174355</v>
      </c>
      <c r="BG63" s="343">
        <f ca="1">-'Echéancier St Loup Naud'!BF8</f>
        <v>13844.24497792221</v>
      </c>
      <c r="BH63" s="355">
        <f ca="1">-'Echéancier St Loup Naud'!BG8</f>
        <v>13375.355938937537</v>
      </c>
      <c r="BI63" s="342">
        <f ca="1">-'Echéancier St Loup Naud'!BH8</f>
        <v>12901.778009563019</v>
      </c>
      <c r="BJ63" s="343">
        <f ca="1">-'Echéancier St Loup Naud'!BI8</f>
        <v>12423.464300894757</v>
      </c>
      <c r="BK63" s="343">
        <f ca="1">-'Echéancier St Loup Naud'!BJ8</f>
        <v>11940.367455139814</v>
      </c>
      <c r="BL63" s="355">
        <f ca="1">-'Echéancier St Loup Naud'!BK8</f>
        <v>11452.439640927319</v>
      </c>
      <c r="BM63" s="342">
        <f ca="1">-'Echéancier St Loup Naud'!BL8</f>
        <v>10959.632548572701</v>
      </c>
      <c r="BN63" s="343">
        <f ca="1">-'Echéancier St Loup Naud'!BM8</f>
        <v>10461.897385294535</v>
      </c>
      <c r="BO63" s="343">
        <f ca="1">-'Echéancier St Loup Naud'!BN8</f>
        <v>9959.1848703835858</v>
      </c>
      <c r="BP63" s="355">
        <f ca="1">-'Echéancier St Loup Naud'!BO8</f>
        <v>9451.4452303235321</v>
      </c>
      <c r="BQ63" s="342">
        <f ca="1">-'Echéancier St Loup Naud'!BP8</f>
        <v>8938.6281938628745</v>
      </c>
      <c r="BR63" s="343">
        <f ca="1">-'Echéancier St Loup Naud'!BQ8</f>
        <v>8420.6829870376077</v>
      </c>
      <c r="BS63" s="343">
        <f ca="1">-'Echéancier St Loup Naud'!BR8</f>
        <v>7897.558328144094</v>
      </c>
      <c r="BT63" s="355">
        <f ca="1">-'Echéancier St Loup Naud'!BS8</f>
        <v>7369.2024226616431</v>
      </c>
    </row>
    <row r="64" spans="2:72" s="339" customFormat="1" x14ac:dyDescent="0.25">
      <c r="B64" s="340"/>
      <c r="C64" s="474"/>
      <c r="D64" s="334" t="s">
        <v>351</v>
      </c>
      <c r="E64" s="342">
        <f>-'Echéancier St Loup Naud'!D6</f>
        <v>0</v>
      </c>
      <c r="F64" s="343">
        <f>-'Echéancier St Loup Naud'!E6</f>
        <v>0</v>
      </c>
      <c r="G64" s="343">
        <f>-'Echéancier St Loup Naud'!F6</f>
        <v>0</v>
      </c>
      <c r="H64" s="344">
        <f>-'Echéancier St Loup Naud'!G6</f>
        <v>0</v>
      </c>
      <c r="I64" s="342">
        <f>-'Echéancier St Loup Naud'!H6</f>
        <v>0</v>
      </c>
      <c r="J64" s="343">
        <f>-'Echéancier St Loup Naud'!I6</f>
        <v>0</v>
      </c>
      <c r="K64" s="343">
        <f>-'Echéancier St Loup Naud'!J6</f>
        <v>0</v>
      </c>
      <c r="L64" s="344">
        <f>-'Echéancier St Loup Naud'!K6</f>
        <v>0</v>
      </c>
      <c r="M64" s="342">
        <f ca="1">-'Echéancier St Loup Naud'!L6</f>
        <v>29667.943669451313</v>
      </c>
      <c r="N64" s="343">
        <f ca="1">-'Echéancier St Loup Naud'!M6</f>
        <v>29964.58452336811</v>
      </c>
      <c r="O64" s="343">
        <f ca="1">-'Echéancier St Loup Naud'!N6</f>
        <v>30264.230368601799</v>
      </c>
      <c r="P64" s="344">
        <f ca="1">-'Echéancier St Loup Naud'!O6</f>
        <v>30566.872672287813</v>
      </c>
      <c r="Q64" s="342">
        <f ca="1">-'Echéancier St Loup Naud'!P6</f>
        <v>30872.541399010686</v>
      </c>
      <c r="R64" s="343">
        <f ca="1">-'Echéancier St Loup Naud'!Q6</f>
        <v>31181.266813000795</v>
      </c>
      <c r="S64" s="343">
        <f ca="1">-'Echéancier St Loup Naud'!R6</f>
        <v>31493.079481130801</v>
      </c>
      <c r="T64" s="344">
        <f ca="1">-'Echéancier St Loup Naud'!S6</f>
        <v>31808.01027594211</v>
      </c>
      <c r="U64" s="342">
        <f ca="1">-'Echéancier St Loup Naud'!T6</f>
        <v>32126.090378701534</v>
      </c>
      <c r="V64" s="343">
        <f ca="1">-'Echéancier St Loup Naud'!U6</f>
        <v>32447.351282488551</v>
      </c>
      <c r="W64" s="343">
        <f ca="1">-'Echéancier St Loup Naud'!V6</f>
        <v>32771.824795313434</v>
      </c>
      <c r="X64" s="344">
        <f ca="1">-'Echéancier St Loup Naud'!W6</f>
        <v>33099.543043266574</v>
      </c>
      <c r="Y64" s="342">
        <f ca="1">-'Echéancier St Loup Naud'!X6</f>
        <v>33430.538473699235</v>
      </c>
      <c r="Z64" s="343">
        <f ca="1">-'Echéancier St Loup Naud'!Y6</f>
        <v>33764.84385843623</v>
      </c>
      <c r="AA64" s="343">
        <f ca="1">-'Echéancier St Loup Naud'!Z6</f>
        <v>34102.492297020588</v>
      </c>
      <c r="AB64" s="355">
        <f ca="1">-'Echéancier St Loup Naud'!AA6</f>
        <v>34443.517219990797</v>
      </c>
      <c r="AC64" s="342">
        <f ca="1">-'Echéancier St Loup Naud'!AB6</f>
        <v>34787.952392190702</v>
      </c>
      <c r="AD64" s="343">
        <f ca="1">-'Echéancier St Loup Naud'!AC6</f>
        <v>35135.831916112613</v>
      </c>
      <c r="AE64" s="343">
        <f ca="1">-'Echéancier St Loup Naud'!AD6</f>
        <v>35487.190235273738</v>
      </c>
      <c r="AF64" s="355">
        <f ca="1">-'Echéancier St Loup Naud'!AE6</f>
        <v>35842.062137626475</v>
      </c>
      <c r="AG64" s="342">
        <f ca="1">-'Echéancier St Loup Naud'!AF6</f>
        <v>36200.482759002742</v>
      </c>
      <c r="AH64" s="343">
        <f ca="1">-'Echéancier St Loup Naud'!AG6</f>
        <v>36562.487586592761</v>
      </c>
      <c r="AI64" s="343">
        <f ca="1">-'Echéancier St Loup Naud'!AH6</f>
        <v>36928.112462458688</v>
      </c>
      <c r="AJ64" s="355">
        <f ca="1">-'Echéancier St Loup Naud'!AI6</f>
        <v>37297.393587083279</v>
      </c>
      <c r="AK64" s="342">
        <f ca="1">-'Echéancier St Loup Naud'!AJ6</f>
        <v>37670.367522954119</v>
      </c>
      <c r="AL64" s="343">
        <f ca="1">-'Echéancier St Loup Naud'!AK6</f>
        <v>38047.071198183658</v>
      </c>
      <c r="AM64" s="343">
        <f ca="1">-'Echéancier St Loup Naud'!AL6</f>
        <v>38427.541910165492</v>
      </c>
      <c r="AN64" s="355">
        <f ca="1">-'Echéancier St Loup Naud'!AM6</f>
        <v>38811.817329267149</v>
      </c>
      <c r="AO64" s="342">
        <f ca="1">-'Echéancier St Loup Naud'!AN6</f>
        <v>39199.93550255982</v>
      </c>
      <c r="AP64" s="343">
        <f ca="1">-'Echéancier St Loup Naud'!AO6</f>
        <v>39591.934857585416</v>
      </c>
      <c r="AQ64" s="343">
        <f ca="1">-'Echéancier St Loup Naud'!AP6</f>
        <v>39987.854206161275</v>
      </c>
      <c r="AR64" s="355">
        <f ca="1">-'Echéancier St Loup Naud'!AQ6</f>
        <v>40387.732748222887</v>
      </c>
      <c r="AS64" s="342">
        <f ca="1">-'Echéancier St Loup Naud'!AR6</f>
        <v>40791.610075705117</v>
      </c>
      <c r="AT64" s="343">
        <f ca="1">-'Echéancier St Loup Naud'!AS6</f>
        <v>41199.526176462168</v>
      </c>
      <c r="AU64" s="343">
        <f ca="1">-'Echéancier St Loup Naud'!AT6</f>
        <v>41611.521438226788</v>
      </c>
      <c r="AV64" s="355">
        <f ca="1">-'Echéancier St Loup Naud'!AU6</f>
        <v>42027.636652609057</v>
      </c>
      <c r="AW64" s="342">
        <f ca="1">-'Echéancier St Loup Naud'!AV6</f>
        <v>42447.913019135151</v>
      </c>
      <c r="AX64" s="343">
        <f ca="1">-'Echéancier St Loup Naud'!AW6</f>
        <v>42872.392149326493</v>
      </c>
      <c r="AY64" s="343">
        <f ca="1">-'Echéancier St Loup Naud'!AX6</f>
        <v>43301.116070819757</v>
      </c>
      <c r="AZ64" s="355">
        <f ca="1">-'Echéancier St Loup Naud'!AY6</f>
        <v>43734.127231527957</v>
      </c>
      <c r="BA64" s="342">
        <f ca="1">-'Echéancier St Loup Naud'!AZ6</f>
        <v>44171.468503843236</v>
      </c>
      <c r="BB64" s="343">
        <f ca="1">-'Echéancier St Loup Naud'!BA6</f>
        <v>44613.183188881667</v>
      </c>
      <c r="BC64" s="343">
        <f ca="1">-'Echéancier St Loup Naud'!BB6</f>
        <v>45059.315020770489</v>
      </c>
      <c r="BD64" s="355">
        <f ca="1">-'Echéancier St Loup Naud'!BC6</f>
        <v>45509.908170978197</v>
      </c>
      <c r="BE64" s="342">
        <f ca="1">-'Echéancier St Loup Naud'!BD6</f>
        <v>45965.007252687974</v>
      </c>
      <c r="BF64" s="343">
        <f ca="1">-'Echéancier St Loup Naud'!BE6</f>
        <v>46424.657325214859</v>
      </c>
      <c r="BG64" s="343">
        <f ca="1">-'Echéancier St Loup Naud'!BF6</f>
        <v>46888.903898467004</v>
      </c>
      <c r="BH64" s="355">
        <f ca="1">-'Echéancier St Loup Naud'!BG6</f>
        <v>47357.792937451675</v>
      </c>
      <c r="BI64" s="342">
        <f ca="1">-'Echéancier St Loup Naud'!BH6</f>
        <v>47831.37086682619</v>
      </c>
      <c r="BJ64" s="343">
        <f ca="1">-'Echéancier St Loup Naud'!BI6</f>
        <v>48309.684575494452</v>
      </c>
      <c r="BK64" s="343">
        <f ca="1">-'Echéancier St Loup Naud'!BJ6</f>
        <v>48792.781421249398</v>
      </c>
      <c r="BL64" s="355">
        <f ca="1">-'Echéancier St Loup Naud'!BK6</f>
        <v>49280.709235461894</v>
      </c>
      <c r="BM64" s="342">
        <f ca="1">-'Echéancier St Loup Naud'!BL6</f>
        <v>49773.516327816513</v>
      </c>
      <c r="BN64" s="343">
        <f ca="1">-'Echéancier St Loup Naud'!BM6</f>
        <v>50271.25149109467</v>
      </c>
      <c r="BO64" s="343">
        <f ca="1">-'Echéancier St Loup Naud'!BN6</f>
        <v>50773.964006005619</v>
      </c>
      <c r="BP64" s="355">
        <f ca="1">-'Echéancier St Loup Naud'!BO6</f>
        <v>51281.703646065675</v>
      </c>
      <c r="BQ64" s="342">
        <f ca="1">-'Echéancier St Loup Naud'!BP6</f>
        <v>51794.520682526338</v>
      </c>
      <c r="BR64" s="343">
        <f ca="1">-'Echéancier St Loup Naud'!BQ6</f>
        <v>52312.465889351603</v>
      </c>
      <c r="BS64" s="343">
        <f ca="1">-'Echéancier St Loup Naud'!BR6</f>
        <v>52835.59054824512</v>
      </c>
      <c r="BT64" s="355">
        <f ca="1">-'Echéancier St Loup Naud'!BS6</f>
        <v>53363.946453727571</v>
      </c>
    </row>
    <row r="65" spans="2:72" s="339" customFormat="1" x14ac:dyDescent="0.25">
      <c r="B65" s="340"/>
      <c r="C65" s="474"/>
      <c r="D65" s="334" t="s">
        <v>352</v>
      </c>
      <c r="E65" s="342"/>
      <c r="F65" s="343"/>
      <c r="G65" s="343"/>
      <c r="H65" s="344"/>
      <c r="I65" s="342"/>
      <c r="J65" s="343"/>
      <c r="K65" s="343"/>
      <c r="L65" s="344"/>
      <c r="M65" s="342">
        <f>-'Echéancier St Loup Naud'!D25</f>
        <v>975</v>
      </c>
      <c r="N65" s="343">
        <f>-'Echéancier St Loup Naud'!E25</f>
        <v>929.63263385895198</v>
      </c>
      <c r="O65" s="343">
        <f>-'Echéancier St Loup Naud'!F25</f>
        <v>883.92501247184566</v>
      </c>
      <c r="P65" s="344">
        <f>-'Echéancier St Loup Naud'!G25</f>
        <v>837.87458392433632</v>
      </c>
      <c r="Q65" s="342">
        <f>-'Echéancier St Loup Naud'!H25</f>
        <v>791.47877716272058</v>
      </c>
      <c r="R65" s="343">
        <f>-'Echéancier St Loup Naud'!I25</f>
        <v>744.73500185039279</v>
      </c>
      <c r="S65" s="343">
        <f>-'Echéancier St Loup Naud'!J25</f>
        <v>697.64064822322246</v>
      </c>
      <c r="T65" s="344">
        <f>-'Echéancier St Loup Naud'!K25</f>
        <v>650.19308694384847</v>
      </c>
      <c r="U65" s="342">
        <f>-'Echéancier St Loup Naud'!L25</f>
        <v>602.38966895487897</v>
      </c>
      <c r="V65" s="343">
        <f>-'Echéancier St Loup Naud'!M25</f>
        <v>554.22772533099226</v>
      </c>
      <c r="W65" s="343">
        <f>-'Echéancier St Loup Naud'!N25</f>
        <v>505.70456712992643</v>
      </c>
      <c r="X65" s="344">
        <f>-'Echéancier St Loup Naud'!O25</f>
        <v>456.81748524235257</v>
      </c>
      <c r="Y65" s="342">
        <f>-'Echéancier St Loup Naud'!P25</f>
        <v>407.56375024062203</v>
      </c>
      <c r="Z65" s="361">
        <f>-'Echéancier St Loup Naud'!Q25</f>
        <v>357.94061222637845</v>
      </c>
      <c r="AA65" s="343">
        <f>-'Echéancier St Loup Naud'!R25</f>
        <v>307.945300677028</v>
      </c>
      <c r="AB65" s="344">
        <f>-'Echéancier St Loup Naud'!S25</f>
        <v>257.57502429105745</v>
      </c>
      <c r="AC65" s="342">
        <f>-'Echéancier St Loup Naud'!T25</f>
        <v>206.82697083219213</v>
      </c>
      <c r="AD65" s="343">
        <f>-'Echéancier St Loup Naud'!U25</f>
        <v>155.6983069723853</v>
      </c>
      <c r="AE65" s="343">
        <f>-'Echéancier St Loup Naud'!V25</f>
        <v>104.18617813362992</v>
      </c>
      <c r="AF65" s="355">
        <f>-'Echéancier St Loup Naud'!W25</f>
        <v>52.287708328583882</v>
      </c>
      <c r="AG65" s="342">
        <f>-'Echéancier St Loup Naud'!X25</f>
        <v>0</v>
      </c>
      <c r="AH65" s="343">
        <f>-'Echéancier St Loup Naud'!Y25</f>
        <v>0</v>
      </c>
      <c r="AI65" s="361">
        <f>-'Echéancier St Loup Naud'!Z25</f>
        <v>0</v>
      </c>
      <c r="AJ65" s="344">
        <f>-'Echéancier St Loup Naud'!AA25</f>
        <v>0</v>
      </c>
      <c r="AK65" s="342">
        <f>-'Echéancier St Loup Naud'!AB25</f>
        <v>0</v>
      </c>
      <c r="AL65" s="343">
        <f>-'Echéancier St Loup Naud'!AC25</f>
        <v>0</v>
      </c>
      <c r="AM65" s="343"/>
      <c r="AN65" s="355"/>
      <c r="AO65" s="342"/>
      <c r="AP65" s="343"/>
      <c r="AQ65" s="343"/>
      <c r="AR65" s="355"/>
      <c r="AS65" s="342"/>
      <c r="AT65" s="343"/>
      <c r="AU65" s="343"/>
      <c r="AV65" s="355"/>
      <c r="AW65" s="342"/>
      <c r="AX65" s="361"/>
      <c r="AY65" s="343"/>
      <c r="AZ65" s="344"/>
      <c r="BA65" s="342"/>
      <c r="BB65" s="343"/>
      <c r="BC65" s="343"/>
      <c r="BD65" s="355"/>
      <c r="BE65" s="342"/>
      <c r="BF65" s="343"/>
      <c r="BG65" s="343"/>
      <c r="BH65" s="355"/>
      <c r="BI65" s="342"/>
      <c r="BJ65" s="343"/>
      <c r="BK65" s="361"/>
      <c r="BL65" s="344"/>
      <c r="BM65" s="342"/>
      <c r="BN65" s="361"/>
      <c r="BO65" s="343"/>
      <c r="BP65" s="355"/>
      <c r="BQ65" s="342"/>
      <c r="BR65" s="343"/>
      <c r="BS65" s="343"/>
      <c r="BT65" s="355"/>
    </row>
    <row r="66" spans="2:72" s="339" customFormat="1" x14ac:dyDescent="0.25">
      <c r="B66" s="340"/>
      <c r="C66" s="474"/>
      <c r="D66" s="334" t="s">
        <v>350</v>
      </c>
      <c r="E66" s="342"/>
      <c r="F66" s="343"/>
      <c r="G66" s="343"/>
      <c r="H66" s="344"/>
      <c r="I66" s="342"/>
      <c r="J66" s="343"/>
      <c r="K66" s="343"/>
      <c r="L66" s="344"/>
      <c r="M66" s="342">
        <f>'Echéancier St Loup Naud'!D23</f>
        <v>-6048.982152139768</v>
      </c>
      <c r="N66" s="343">
        <f>'Echéancier St Loup Naud'!E23</f>
        <v>-6094.3495182808165</v>
      </c>
      <c r="O66" s="343">
        <f>'Echéancier St Loup Naud'!F23</f>
        <v>-6140.0571396679225</v>
      </c>
      <c r="P66" s="344">
        <f>'Echéancier St Loup Naud'!G23</f>
        <v>-6186.1075682154315</v>
      </c>
      <c r="Q66" s="342">
        <f>'Echéancier St Loup Naud'!H23</f>
        <v>-6232.5033749770473</v>
      </c>
      <c r="R66" s="343">
        <f>'Echéancier St Loup Naud'!I23</f>
        <v>-6279.2471502893759</v>
      </c>
      <c r="S66" s="343">
        <f>'Echéancier St Loup Naud'!J23</f>
        <v>-6326.3415039165457</v>
      </c>
      <c r="T66" s="344">
        <f>'Echéancier St Loup Naud'!K23</f>
        <v>-6373.7890651959196</v>
      </c>
      <c r="U66" s="342">
        <f>'Echéancier St Loup Naud'!L23</f>
        <v>-6421.5924831848897</v>
      </c>
      <c r="V66" s="343">
        <f>'Echéancier St Loup Naud'!M23</f>
        <v>-6469.754426808775</v>
      </c>
      <c r="W66" s="343">
        <f>'Echéancier St Loup Naud'!N23</f>
        <v>-6518.2775850098415</v>
      </c>
      <c r="X66" s="344">
        <f>'Echéancier St Loup Naud'!O23</f>
        <v>-6567.1646668974154</v>
      </c>
      <c r="Y66" s="342">
        <f>'Echéancier St Loup Naud'!P23</f>
        <v>-6616.4184018991464</v>
      </c>
      <c r="Z66" s="343">
        <f>'Echéancier St Loup Naud'!Q23</f>
        <v>-6666.041539913389</v>
      </c>
      <c r="AA66" s="343">
        <f>'Echéancier St Loup Naud'!R23</f>
        <v>-6716.0368514627398</v>
      </c>
      <c r="AB66" s="344">
        <f>'Echéancier St Loup Naud'!S23</f>
        <v>-6766.4071278487108</v>
      </c>
      <c r="AC66" s="342">
        <f>'Echéancier St Loup Naud'!T23</f>
        <v>-6817.1551813075766</v>
      </c>
      <c r="AD66" s="343">
        <f>'Echéancier St Loup Naud'!U23</f>
        <v>-6868.2838451673824</v>
      </c>
      <c r="AE66" s="343">
        <f>'Echéancier St Loup Naud'!V23</f>
        <v>-6919.7959740061378</v>
      </c>
      <c r="AF66" s="344">
        <f>'Echéancier St Loup Naud'!W23</f>
        <v>-6971.6944438111841</v>
      </c>
      <c r="AG66" s="342">
        <f>'Echéancier St Loup Naud'!X23</f>
        <v>0</v>
      </c>
      <c r="AH66" s="343">
        <f>'Echéancier St Loup Naud'!Y23</f>
        <v>0</v>
      </c>
      <c r="AI66" s="343">
        <f>'Echéancier St Loup Naud'!Z23</f>
        <v>0</v>
      </c>
      <c r="AJ66" s="344">
        <f>'Echéancier St Loup Naud'!AA23</f>
        <v>0</v>
      </c>
      <c r="AK66" s="342">
        <f>'Echéancier St Loup Naud'!AB23</f>
        <v>0</v>
      </c>
      <c r="AL66" s="343">
        <f>'Echéancier St Loup Naud'!AC23</f>
        <v>0</v>
      </c>
      <c r="AM66" s="343">
        <f>'Echéancier St Loup Naud'!AD23</f>
        <v>0</v>
      </c>
      <c r="AN66" s="344">
        <f>'Echéancier St Loup Naud'!AE23</f>
        <v>0</v>
      </c>
      <c r="AO66" s="342">
        <f>'Echéancier St Loup Naud'!AF23</f>
        <v>0</v>
      </c>
      <c r="AP66" s="343">
        <f>'Echéancier St Loup Naud'!AG23</f>
        <v>0</v>
      </c>
      <c r="AQ66" s="343">
        <f>'Echéancier St Loup Naud'!AH23</f>
        <v>0</v>
      </c>
      <c r="AR66" s="344">
        <f>'Echéancier St Loup Naud'!AI23</f>
        <v>0</v>
      </c>
      <c r="AS66" s="342"/>
      <c r="AT66" s="343"/>
      <c r="AU66" s="343"/>
      <c r="AV66" s="344"/>
      <c r="AW66" s="342"/>
      <c r="AX66" s="343"/>
      <c r="AY66" s="343"/>
      <c r="AZ66" s="344"/>
      <c r="BA66" s="342"/>
      <c r="BB66" s="343"/>
      <c r="BC66" s="343"/>
      <c r="BD66" s="344"/>
      <c r="BE66" s="342"/>
      <c r="BF66" s="343"/>
      <c r="BG66" s="343"/>
      <c r="BH66" s="344"/>
      <c r="BI66" s="342"/>
      <c r="BJ66" s="343"/>
      <c r="BK66" s="343"/>
      <c r="BL66" s="344"/>
      <c r="BM66" s="342"/>
      <c r="BN66" s="343"/>
      <c r="BO66" s="343"/>
      <c r="BP66" s="344"/>
      <c r="BQ66" s="342"/>
      <c r="BR66" s="343"/>
      <c r="BS66" s="343"/>
      <c r="BT66" s="344"/>
    </row>
    <row r="67" spans="2:72" s="339" customFormat="1" x14ac:dyDescent="0.25">
      <c r="B67" s="340"/>
      <c r="C67" s="341"/>
      <c r="D67" s="334"/>
      <c r="E67" s="342"/>
      <c r="F67" s="343"/>
      <c r="G67" s="343"/>
      <c r="H67" s="344"/>
      <c r="I67" s="342"/>
      <c r="J67" s="343"/>
      <c r="K67" s="343"/>
      <c r="L67" s="344"/>
      <c r="M67" s="342"/>
      <c r="N67" s="343"/>
      <c r="O67" s="343"/>
      <c r="P67" s="344"/>
      <c r="Q67" s="342"/>
      <c r="R67" s="343"/>
      <c r="S67" s="343"/>
      <c r="T67" s="344"/>
      <c r="U67" s="342"/>
      <c r="V67" s="343"/>
      <c r="W67" s="343"/>
      <c r="X67" s="344"/>
      <c r="Y67" s="342"/>
      <c r="Z67" s="343"/>
      <c r="AA67" s="343"/>
      <c r="AB67" s="344"/>
      <c r="AC67" s="342"/>
      <c r="AD67" s="343"/>
      <c r="AE67" s="343"/>
      <c r="AF67" s="344"/>
      <c r="AG67" s="342"/>
      <c r="AH67" s="343"/>
      <c r="AI67" s="343"/>
      <c r="AJ67" s="344"/>
      <c r="AK67" s="342"/>
      <c r="AL67" s="343"/>
      <c r="AM67" s="343"/>
      <c r="AN67" s="344"/>
      <c r="AO67" s="342"/>
      <c r="AP67" s="343"/>
      <c r="AQ67" s="343"/>
      <c r="AR67" s="344"/>
      <c r="AS67" s="342"/>
      <c r="AT67" s="343"/>
      <c r="AU67" s="343"/>
      <c r="AV67" s="344"/>
      <c r="AW67" s="342"/>
      <c r="AX67" s="343"/>
      <c r="AY67" s="343"/>
      <c r="AZ67" s="344"/>
      <c r="BA67" s="342"/>
      <c r="BB67" s="343"/>
      <c r="BC67" s="343"/>
      <c r="BD67" s="344"/>
      <c r="BE67" s="342"/>
      <c r="BF67" s="343"/>
      <c r="BG67" s="343"/>
      <c r="BH67" s="344"/>
      <c r="BI67" s="342"/>
      <c r="BJ67" s="343"/>
      <c r="BK67" s="343"/>
      <c r="BL67" s="344"/>
      <c r="BM67" s="342"/>
      <c r="BN67" s="343"/>
      <c r="BO67" s="343"/>
      <c r="BP67" s="344"/>
      <c r="BQ67" s="342"/>
      <c r="BR67" s="343"/>
      <c r="BS67" s="343"/>
      <c r="BT67" s="344"/>
    </row>
    <row r="68" spans="2:72" s="339" customFormat="1" ht="15.75" customHeight="1" thickBot="1" x14ac:dyDescent="0.3">
      <c r="B68" s="340"/>
      <c r="C68" s="341"/>
      <c r="D68" s="334" t="s">
        <v>210</v>
      </c>
      <c r="E68" s="342"/>
      <c r="F68" s="343"/>
      <c r="G68" s="343"/>
      <c r="H68" s="344"/>
      <c r="I68" s="342"/>
      <c r="J68" s="343"/>
      <c r="K68" s="343"/>
      <c r="L68" s="344"/>
      <c r="M68" s="342"/>
      <c r="N68" s="343"/>
      <c r="O68" s="343"/>
      <c r="P68" s="344"/>
      <c r="Q68" s="342"/>
      <c r="R68" s="343"/>
      <c r="S68" s="343"/>
      <c r="T68" s="344"/>
      <c r="U68" s="342"/>
      <c r="V68" s="343"/>
      <c r="W68" s="343"/>
      <c r="X68" s="344"/>
      <c r="Y68" s="342"/>
      <c r="Z68" s="343"/>
      <c r="AA68" s="343"/>
      <c r="AB68" s="344"/>
      <c r="AC68" s="342"/>
      <c r="AD68" s="343"/>
      <c r="AE68" s="343"/>
      <c r="AF68" s="344"/>
      <c r="AG68" s="342"/>
      <c r="AH68" s="343"/>
      <c r="AI68" s="343"/>
      <c r="AJ68" s="344"/>
      <c r="AK68" s="342"/>
      <c r="AL68" s="343"/>
      <c r="AM68" s="343"/>
      <c r="AN68" s="344"/>
      <c r="AO68" s="342"/>
      <c r="AP68" s="343"/>
      <c r="AQ68" s="343"/>
      <c r="AR68" s="344"/>
      <c r="AS68" s="342"/>
      <c r="AT68" s="343"/>
      <c r="AU68" s="343"/>
      <c r="AV68" s="344"/>
      <c r="AW68" s="342"/>
      <c r="AX68" s="343"/>
      <c r="AY68" s="343"/>
      <c r="AZ68" s="344"/>
      <c r="BA68" s="342"/>
      <c r="BB68" s="343"/>
      <c r="BC68" s="343"/>
      <c r="BD68" s="344"/>
      <c r="BE68" s="342"/>
      <c r="BF68" s="343"/>
      <c r="BG68" s="343"/>
      <c r="BH68" s="344"/>
      <c r="BI68" s="342"/>
      <c r="BJ68" s="343"/>
      <c r="BK68" s="343"/>
      <c r="BL68" s="344"/>
      <c r="BM68" s="342"/>
      <c r="BN68" s="343"/>
      <c r="BO68" s="343"/>
      <c r="BP68" s="344"/>
      <c r="BQ68" s="342"/>
      <c r="BR68" s="343"/>
      <c r="BS68" s="343"/>
      <c r="BT68" s="344"/>
    </row>
    <row r="69" spans="2:72" s="345" customFormat="1" ht="16.5" customHeight="1" thickBot="1" x14ac:dyDescent="0.3">
      <c r="B69" s="500" t="s">
        <v>211</v>
      </c>
      <c r="C69" s="500"/>
      <c r="D69" s="500"/>
      <c r="E69" s="346">
        <f t="shared" ref="E69:AJ69" ca="1" si="53">SUM(E60:E68)</f>
        <v>31065.243407707912</v>
      </c>
      <c r="F69" s="347">
        <f t="shared" si="53"/>
        <v>26778.964883367138</v>
      </c>
      <c r="G69" s="347">
        <f t="shared" si="53"/>
        <v>26778.964883367138</v>
      </c>
      <c r="H69" s="348">
        <f t="shared" si="53"/>
        <v>26778.964883367138</v>
      </c>
      <c r="I69" s="346">
        <f t="shared" si="53"/>
        <v>26778.964883367138</v>
      </c>
      <c r="J69" s="347">
        <f t="shared" si="53"/>
        <v>26778.964883367138</v>
      </c>
      <c r="K69" s="347">
        <f t="shared" si="53"/>
        <v>26778.964883367138</v>
      </c>
      <c r="L69" s="348">
        <f t="shared" si="53"/>
        <v>26778.964883367138</v>
      </c>
      <c r="M69" s="346">
        <f t="shared" ca="1" si="53"/>
        <v>55659.204925019454</v>
      </c>
      <c r="N69" s="347">
        <f t="shared" ca="1" si="53"/>
        <v>55568.431991967343</v>
      </c>
      <c r="O69" s="347">
        <f t="shared" ca="1" si="53"/>
        <v>55477.016749193135</v>
      </c>
      <c r="P69" s="348">
        <f t="shared" ca="1" si="53"/>
        <v>55384.915892098114</v>
      </c>
      <c r="Q69" s="346">
        <f t="shared" ca="1" si="53"/>
        <v>55292.124278574884</v>
      </c>
      <c r="R69" s="347">
        <f t="shared" ca="1" si="53"/>
        <v>55198.63672795023</v>
      </c>
      <c r="S69" s="347">
        <f t="shared" ca="1" si="53"/>
        <v>55104.448020695876</v>
      </c>
      <c r="T69" s="348">
        <f t="shared" ca="1" si="53"/>
        <v>55009.552898137139</v>
      </c>
      <c r="U69" s="346">
        <f t="shared" ca="1" si="53"/>
        <v>54913.946062159201</v>
      </c>
      <c r="V69" s="347">
        <f t="shared" ca="1" si="53"/>
        <v>54817.622174911434</v>
      </c>
      <c r="W69" s="347">
        <f t="shared" ca="1" si="53"/>
        <v>54720.575858509299</v>
      </c>
      <c r="X69" s="348">
        <f t="shared" ca="1" si="53"/>
        <v>54622.801694734153</v>
      </c>
      <c r="Y69" s="346">
        <f t="shared" ca="1" si="53"/>
        <v>54524.294224730693</v>
      </c>
      <c r="Z69" s="347">
        <f t="shared" ca="1" si="53"/>
        <v>54425.047948702195</v>
      </c>
      <c r="AA69" s="347">
        <f t="shared" ca="1" si="53"/>
        <v>54325.057325603491</v>
      </c>
      <c r="AB69" s="348">
        <f t="shared" ca="1" si="53"/>
        <v>54224.31677283156</v>
      </c>
      <c r="AC69" s="346">
        <f t="shared" ca="1" si="53"/>
        <v>54122.820665913816</v>
      </c>
      <c r="AD69" s="347">
        <f t="shared" ca="1" si="53"/>
        <v>54020.563338194217</v>
      </c>
      <c r="AE69" s="347">
        <f t="shared" ca="1" si="53"/>
        <v>53917.539080516697</v>
      </c>
      <c r="AF69" s="348">
        <f t="shared" ca="1" si="53"/>
        <v>53813.742140906616</v>
      </c>
      <c r="AG69" s="346">
        <f t="shared" ca="1" si="53"/>
        <v>60733.148876389219</v>
      </c>
      <c r="AH69" s="347">
        <f t="shared" ca="1" si="53"/>
        <v>60733.148876389212</v>
      </c>
      <c r="AI69" s="347">
        <f t="shared" ca="1" si="53"/>
        <v>60733.148876389212</v>
      </c>
      <c r="AJ69" s="348">
        <f t="shared" ca="1" si="53"/>
        <v>60733.148876389212</v>
      </c>
      <c r="AK69" s="346">
        <f t="shared" ref="AK69:BT69" ca="1" si="54">SUM(AK60:AK68)</f>
        <v>60733.148876389212</v>
      </c>
      <c r="AL69" s="347">
        <f t="shared" ca="1" si="54"/>
        <v>60733.148876389212</v>
      </c>
      <c r="AM69" s="347">
        <f t="shared" ca="1" si="54"/>
        <v>60733.148876389205</v>
      </c>
      <c r="AN69" s="348">
        <f t="shared" ca="1" si="54"/>
        <v>60733.148876389212</v>
      </c>
      <c r="AO69" s="346">
        <f t="shared" ca="1" si="54"/>
        <v>60733.148876389212</v>
      </c>
      <c r="AP69" s="347">
        <f t="shared" ca="1" si="54"/>
        <v>60733.148876389205</v>
      </c>
      <c r="AQ69" s="347">
        <f t="shared" ca="1" si="54"/>
        <v>60733.148876389212</v>
      </c>
      <c r="AR69" s="348">
        <f t="shared" ca="1" si="54"/>
        <v>60733.148876389212</v>
      </c>
      <c r="AS69" s="346">
        <f t="shared" ca="1" si="54"/>
        <v>60733.148876389212</v>
      </c>
      <c r="AT69" s="347">
        <f t="shared" ca="1" si="54"/>
        <v>60733.148876389212</v>
      </c>
      <c r="AU69" s="347">
        <f t="shared" ca="1" si="54"/>
        <v>60733.148876389212</v>
      </c>
      <c r="AV69" s="348">
        <f t="shared" ca="1" si="54"/>
        <v>60733.148876389212</v>
      </c>
      <c r="AW69" s="346">
        <f t="shared" ca="1" si="54"/>
        <v>60733.148876389212</v>
      </c>
      <c r="AX69" s="347">
        <f t="shared" ca="1" si="54"/>
        <v>60733.148876389205</v>
      </c>
      <c r="AY69" s="347">
        <f t="shared" ca="1" si="54"/>
        <v>60733.148876389212</v>
      </c>
      <c r="AZ69" s="348">
        <f t="shared" ca="1" si="54"/>
        <v>60733.148876389212</v>
      </c>
      <c r="BA69" s="346">
        <f t="shared" ca="1" si="54"/>
        <v>60733.148876389205</v>
      </c>
      <c r="BB69" s="347">
        <f t="shared" ca="1" si="54"/>
        <v>60733.148876389205</v>
      </c>
      <c r="BC69" s="347">
        <f t="shared" ca="1" si="54"/>
        <v>60733.148876389212</v>
      </c>
      <c r="BD69" s="348">
        <f t="shared" ca="1" si="54"/>
        <v>60733.148876389212</v>
      </c>
      <c r="BE69" s="346">
        <f t="shared" ca="1" si="54"/>
        <v>60733.148876389212</v>
      </c>
      <c r="BF69" s="347">
        <f t="shared" ca="1" si="54"/>
        <v>60733.148876389212</v>
      </c>
      <c r="BG69" s="347">
        <f t="shared" ca="1" si="54"/>
        <v>60733.148876389212</v>
      </c>
      <c r="BH69" s="348">
        <f t="shared" ca="1" si="54"/>
        <v>60733.148876389212</v>
      </c>
      <c r="BI69" s="346">
        <f t="shared" ca="1" si="54"/>
        <v>60733.148876389212</v>
      </c>
      <c r="BJ69" s="347">
        <f t="shared" ca="1" si="54"/>
        <v>60733.148876389212</v>
      </c>
      <c r="BK69" s="347">
        <f t="shared" ca="1" si="54"/>
        <v>60733.148876389212</v>
      </c>
      <c r="BL69" s="348">
        <f t="shared" ca="1" si="54"/>
        <v>60733.148876389212</v>
      </c>
      <c r="BM69" s="346">
        <f t="shared" ca="1" si="54"/>
        <v>60733.148876389212</v>
      </c>
      <c r="BN69" s="347">
        <f t="shared" ca="1" si="54"/>
        <v>60733.148876389205</v>
      </c>
      <c r="BO69" s="347">
        <f t="shared" ca="1" si="54"/>
        <v>60733.148876389205</v>
      </c>
      <c r="BP69" s="348">
        <f t="shared" ca="1" si="54"/>
        <v>60733.148876389205</v>
      </c>
      <c r="BQ69" s="346">
        <f t="shared" ca="1" si="54"/>
        <v>60733.148876389212</v>
      </c>
      <c r="BR69" s="347">
        <f t="shared" ca="1" si="54"/>
        <v>60733.148876389212</v>
      </c>
      <c r="BS69" s="347">
        <f t="shared" ca="1" si="54"/>
        <v>60733.148876389212</v>
      </c>
      <c r="BT69" s="348">
        <f t="shared" ca="1" si="54"/>
        <v>60733.148876389212</v>
      </c>
    </row>
    <row r="70" spans="2:72" s="356" customFormat="1" ht="16.5" customHeight="1" thickBot="1" x14ac:dyDescent="0.3">
      <c r="D70" s="367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</row>
    <row r="71" spans="2:72" s="345" customFormat="1" ht="16.5" customHeight="1" thickBot="1" x14ac:dyDescent="0.3">
      <c r="B71" s="498" t="s">
        <v>212</v>
      </c>
      <c r="C71" s="498"/>
      <c r="D71" s="498"/>
      <c r="E71" s="353">
        <f t="shared" ref="E71:AJ71" ca="1" si="55">+E59+E69</f>
        <v>33565.243407707909</v>
      </c>
      <c r="F71" s="353">
        <f t="shared" si="55"/>
        <v>26778.964883367138</v>
      </c>
      <c r="G71" s="353">
        <f t="shared" si="55"/>
        <v>26778.964883367138</v>
      </c>
      <c r="H71" s="369">
        <f t="shared" si="55"/>
        <v>26778.964883367138</v>
      </c>
      <c r="I71" s="346">
        <f t="shared" si="55"/>
        <v>29316.464883367138</v>
      </c>
      <c r="J71" s="353">
        <f t="shared" si="55"/>
        <v>26778.964883367138</v>
      </c>
      <c r="K71" s="353">
        <f t="shared" si="55"/>
        <v>26778.964883367138</v>
      </c>
      <c r="L71" s="369">
        <f t="shared" si="55"/>
        <v>26778.964883367138</v>
      </c>
      <c r="M71" s="346">
        <f t="shared" ca="1" si="55"/>
        <v>75370.767425019454</v>
      </c>
      <c r="N71" s="353">
        <f t="shared" ca="1" si="55"/>
        <v>72704.431991967343</v>
      </c>
      <c r="O71" s="353">
        <f t="shared" ca="1" si="55"/>
        <v>72613.016749193135</v>
      </c>
      <c r="P71" s="369">
        <f t="shared" ca="1" si="55"/>
        <v>110020.91589209811</v>
      </c>
      <c r="Q71" s="346">
        <f t="shared" ca="1" si="55"/>
        <v>75299.360216074885</v>
      </c>
      <c r="R71" s="353">
        <f t="shared" ca="1" si="55"/>
        <v>72591.676727950224</v>
      </c>
      <c r="S71" s="353">
        <f t="shared" ca="1" si="55"/>
        <v>72497.488020695877</v>
      </c>
      <c r="T71" s="369">
        <f t="shared" ca="1" si="55"/>
        <v>111402.59289813714</v>
      </c>
      <c r="U71" s="346">
        <f t="shared" ca="1" si="55"/>
        <v>75221.290538721689</v>
      </c>
      <c r="V71" s="353">
        <f t="shared" ca="1" si="55"/>
        <v>72471.557774911431</v>
      </c>
      <c r="W71" s="353">
        <f t="shared" ca="1" si="55"/>
        <v>72374.511458509296</v>
      </c>
      <c r="X71" s="369">
        <f t="shared" ca="1" si="55"/>
        <v>112836.73729473415</v>
      </c>
      <c r="Y71" s="346">
        <f t="shared" ca="1" si="55"/>
        <v>75136.248868441617</v>
      </c>
      <c r="Z71" s="353">
        <f t="shared" ca="1" si="55"/>
        <v>72343.792582702183</v>
      </c>
      <c r="AA71" s="353">
        <f t="shared" ca="1" si="55"/>
        <v>72243.801959603486</v>
      </c>
      <c r="AB71" s="369">
        <f t="shared" ca="1" si="55"/>
        <v>114325.46140683156</v>
      </c>
      <c r="AC71" s="346">
        <f t="shared" ca="1" si="55"/>
        <v>75043.954629280401</v>
      </c>
      <c r="AD71" s="353">
        <f t="shared" ca="1" si="55"/>
        <v>72208.0891417042</v>
      </c>
      <c r="AE71" s="353">
        <f t="shared" ca="1" si="55"/>
        <v>72105.06488402668</v>
      </c>
      <c r="AF71" s="369">
        <f t="shared" ca="1" si="55"/>
        <v>115870.96394441661</v>
      </c>
      <c r="AG71" s="346">
        <f t="shared" ca="1" si="55"/>
        <v>81968.099849206308</v>
      </c>
      <c r="AH71" s="353">
        <f t="shared" ca="1" si="55"/>
        <v>79193.487566951851</v>
      </c>
      <c r="AI71" s="353">
        <f t="shared" ca="1" si="55"/>
        <v>79193.487566951851</v>
      </c>
      <c r="AJ71" s="369">
        <f t="shared" ca="1" si="55"/>
        <v>124817.97140695185</v>
      </c>
      <c r="AK71" s="346">
        <f t="shared" ref="AK71:BT71" ca="1" si="56">+AK59+AK69</f>
        <v>82286.624113798549</v>
      </c>
      <c r="AL71" s="353">
        <f t="shared" ca="1" si="56"/>
        <v>79470.392647310291</v>
      </c>
      <c r="AM71" s="353">
        <f t="shared" ca="1" si="56"/>
        <v>79470.392647310277</v>
      </c>
      <c r="AN71" s="369">
        <f t="shared" ca="1" si="56"/>
        <v>126919.85584091028</v>
      </c>
      <c r="AO71" s="353">
        <f t="shared" ca="1" si="56"/>
        <v>82609.926242359681</v>
      </c>
      <c r="AP71" s="353">
        <f t="shared" ca="1" si="56"/>
        <v>79751.451303874084</v>
      </c>
      <c r="AQ71" s="353">
        <f t="shared" ca="1" si="56"/>
        <v>79751.451303874099</v>
      </c>
      <c r="AR71" s="369">
        <f t="shared" ca="1" si="56"/>
        <v>129098.8930252181</v>
      </c>
      <c r="AS71" s="346">
        <f t="shared" ca="1" si="56"/>
        <v>82938.07790284924</v>
      </c>
      <c r="AT71" s="353">
        <f t="shared" ca="1" si="56"/>
        <v>80036.725840286381</v>
      </c>
      <c r="AU71" s="353">
        <f t="shared" ca="1" si="56"/>
        <v>80036.725840286381</v>
      </c>
      <c r="AV71" s="369">
        <f t="shared" ca="1" si="56"/>
        <v>131358.06523048412</v>
      </c>
      <c r="AW71" s="346">
        <f t="shared" ca="1" si="56"/>
        <v>83271.151838246151</v>
      </c>
      <c r="AX71" s="353">
        <f t="shared" ca="1" si="56"/>
        <v>80326.279494744813</v>
      </c>
      <c r="AY71" s="353">
        <f t="shared" ca="1" si="56"/>
        <v>80326.279494744827</v>
      </c>
      <c r="AZ71" s="369">
        <f t="shared" ca="1" si="56"/>
        <v>133700.47246055049</v>
      </c>
      <c r="BA71" s="346">
        <f t="shared" ca="1" si="56"/>
        <v>83609.221882673985</v>
      </c>
      <c r="BB71" s="353">
        <f t="shared" ca="1" si="56"/>
        <v>80620.176454020155</v>
      </c>
      <c r="BC71" s="353">
        <f t="shared" ca="1" si="56"/>
        <v>80620.176454020155</v>
      </c>
      <c r="BD71" s="369">
        <f t="shared" ca="1" si="56"/>
        <v>136129.33713845807</v>
      </c>
      <c r="BE71" s="346">
        <f t="shared" ca="1" si="56"/>
        <v>83952.362977768265</v>
      </c>
      <c r="BF71" s="353">
        <f t="shared" ca="1" si="56"/>
        <v>80918.481867684619</v>
      </c>
      <c r="BG71" s="353">
        <f t="shared" ca="1" si="56"/>
        <v>80918.481867684619</v>
      </c>
      <c r="BH71" s="369">
        <f t="shared" ca="1" si="56"/>
        <v>138648.00897950004</v>
      </c>
      <c r="BI71" s="346">
        <f t="shared" ca="1" si="56"/>
        <v>84300.651189288939</v>
      </c>
      <c r="BJ71" s="353">
        <f t="shared" ca="1" si="56"/>
        <v>81221.261862554049</v>
      </c>
      <c r="BK71" s="353">
        <f t="shared" ca="1" si="56"/>
        <v>81221.261862554049</v>
      </c>
      <c r="BL71" s="369">
        <f t="shared" ca="1" si="56"/>
        <v>141259.9700588421</v>
      </c>
      <c r="BM71" s="346">
        <f t="shared" ca="1" si="56"/>
        <v>84346.842029189967</v>
      </c>
      <c r="BN71" s="353">
        <f t="shared" ca="1" si="56"/>
        <v>81221.261862554034</v>
      </c>
      <c r="BO71" s="353">
        <f t="shared" ca="1" si="56"/>
        <v>81221.261862554034</v>
      </c>
      <c r="BP71" s="369">
        <f t="shared" ca="1" si="56"/>
        <v>143661.51838669358</v>
      </c>
      <c r="BQ71" s="346">
        <f t="shared" ca="1" si="56"/>
        <v>84393.725731689512</v>
      </c>
      <c r="BR71" s="353">
        <f t="shared" ca="1" si="56"/>
        <v>81221.261862554049</v>
      </c>
      <c r="BS71" s="353">
        <f t="shared" ca="1" si="56"/>
        <v>81221.261862554049</v>
      </c>
      <c r="BT71" s="348">
        <f t="shared" ca="1" si="56"/>
        <v>146159.12864765921</v>
      </c>
    </row>
    <row r="72" spans="2:72" s="345" customFormat="1" ht="16.5" customHeight="1" thickBot="1" x14ac:dyDescent="0.3">
      <c r="B72" s="350"/>
      <c r="C72" s="350"/>
      <c r="D72" s="350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  <c r="AU72" s="339"/>
      <c r="AV72" s="339"/>
      <c r="AW72" s="339"/>
      <c r="AX72" s="339"/>
      <c r="AY72" s="339"/>
      <c r="AZ72" s="339"/>
      <c r="BA72" s="339"/>
      <c r="BB72" s="339"/>
      <c r="BC72" s="339"/>
      <c r="BD72" s="339"/>
      <c r="BE72" s="339"/>
      <c r="BF72" s="339"/>
      <c r="BG72" s="339"/>
      <c r="BH72" s="339"/>
      <c r="BI72" s="339"/>
      <c r="BJ72" s="339"/>
      <c r="BK72" s="339"/>
      <c r="BL72" s="339"/>
      <c r="BM72" s="339"/>
      <c r="BN72" s="339"/>
      <c r="BO72" s="339"/>
      <c r="BP72" s="339"/>
      <c r="BQ72" s="339"/>
      <c r="BR72" s="339"/>
      <c r="BS72" s="339"/>
      <c r="BT72" s="339"/>
    </row>
    <row r="73" spans="2:72" s="339" customFormat="1" x14ac:dyDescent="0.25">
      <c r="B73" s="340"/>
      <c r="C73" s="341"/>
      <c r="D73" s="370" t="s">
        <v>185</v>
      </c>
      <c r="E73" s="371">
        <f t="shared" ref="E73:AJ73" si="57">SUM(E43)</f>
        <v>0</v>
      </c>
      <c r="F73" s="372">
        <f t="shared" si="57"/>
        <v>0</v>
      </c>
      <c r="G73" s="372">
        <f t="shared" si="57"/>
        <v>0</v>
      </c>
      <c r="H73" s="373">
        <f t="shared" si="57"/>
        <v>0</v>
      </c>
      <c r="I73" s="371">
        <f t="shared" si="57"/>
        <v>0</v>
      </c>
      <c r="J73" s="372">
        <f t="shared" si="57"/>
        <v>0</v>
      </c>
      <c r="K73" s="372">
        <f t="shared" si="57"/>
        <v>0</v>
      </c>
      <c r="L73" s="373">
        <f t="shared" si="57"/>
        <v>0</v>
      </c>
      <c r="M73" s="371">
        <f t="shared" si="57"/>
        <v>29988</v>
      </c>
      <c r="N73" s="372">
        <f t="shared" si="57"/>
        <v>29988</v>
      </c>
      <c r="O73" s="372">
        <f t="shared" si="57"/>
        <v>29988</v>
      </c>
      <c r="P73" s="373">
        <f t="shared" si="57"/>
        <v>36238</v>
      </c>
      <c r="Q73" s="371">
        <f t="shared" si="57"/>
        <v>30437.820000000003</v>
      </c>
      <c r="R73" s="372">
        <f t="shared" si="57"/>
        <v>30437.820000000003</v>
      </c>
      <c r="S73" s="372">
        <f t="shared" si="57"/>
        <v>30437.820000000003</v>
      </c>
      <c r="T73" s="373">
        <f t="shared" si="57"/>
        <v>36937.82</v>
      </c>
      <c r="U73" s="371">
        <f t="shared" si="57"/>
        <v>30894.387299999991</v>
      </c>
      <c r="V73" s="372">
        <f t="shared" si="57"/>
        <v>30894.387299999991</v>
      </c>
      <c r="W73" s="372">
        <f t="shared" si="57"/>
        <v>30894.387299999991</v>
      </c>
      <c r="X73" s="373">
        <f t="shared" si="57"/>
        <v>37654.387299999995</v>
      </c>
      <c r="Y73" s="371">
        <f t="shared" si="57"/>
        <v>31357.80310949999</v>
      </c>
      <c r="Z73" s="372">
        <f t="shared" si="57"/>
        <v>31357.80310949999</v>
      </c>
      <c r="AA73" s="372">
        <f t="shared" si="57"/>
        <v>31357.80310949999</v>
      </c>
      <c r="AB73" s="373">
        <f t="shared" si="57"/>
        <v>38388.203109499991</v>
      </c>
      <c r="AC73" s="371">
        <f t="shared" si="57"/>
        <v>31828.170156142485</v>
      </c>
      <c r="AD73" s="372">
        <f t="shared" si="57"/>
        <v>31828.170156142485</v>
      </c>
      <c r="AE73" s="372">
        <f t="shared" si="57"/>
        <v>31828.170156142485</v>
      </c>
      <c r="AF73" s="373">
        <f t="shared" si="57"/>
        <v>39139.78615614248</v>
      </c>
      <c r="AG73" s="371">
        <f t="shared" si="57"/>
        <v>32305.592708484619</v>
      </c>
      <c r="AH73" s="372">
        <f t="shared" si="57"/>
        <v>32305.592708484619</v>
      </c>
      <c r="AI73" s="372">
        <f t="shared" si="57"/>
        <v>32305.592708484619</v>
      </c>
      <c r="AJ73" s="373">
        <f t="shared" si="57"/>
        <v>39909.673348484619</v>
      </c>
      <c r="AK73" s="371">
        <f t="shared" ref="AK73:BT73" si="58">SUM(AK43)</f>
        <v>32790.176599111874</v>
      </c>
      <c r="AL73" s="372">
        <f t="shared" si="58"/>
        <v>32790.176599111874</v>
      </c>
      <c r="AM73" s="372">
        <f t="shared" si="58"/>
        <v>32790.176599111874</v>
      </c>
      <c r="AN73" s="373">
        <f t="shared" si="58"/>
        <v>40698.420464711875</v>
      </c>
      <c r="AO73" s="371">
        <f t="shared" si="58"/>
        <v>33282.029248098552</v>
      </c>
      <c r="AP73" s="372">
        <f t="shared" si="58"/>
        <v>33282.029248098552</v>
      </c>
      <c r="AQ73" s="372">
        <f t="shared" si="58"/>
        <v>33282.029248098552</v>
      </c>
      <c r="AR73" s="373">
        <f t="shared" si="58"/>
        <v>41506.602868322552</v>
      </c>
      <c r="AS73" s="371">
        <f t="shared" si="58"/>
        <v>33781.259686820027</v>
      </c>
      <c r="AT73" s="372">
        <f t="shared" si="58"/>
        <v>33781.259686820027</v>
      </c>
      <c r="AU73" s="372">
        <f t="shared" si="58"/>
        <v>33781.259686820027</v>
      </c>
      <c r="AV73" s="373">
        <f t="shared" si="58"/>
        <v>42334.816251852986</v>
      </c>
      <c r="AW73" s="371">
        <f t="shared" si="58"/>
        <v>34287.978582122327</v>
      </c>
      <c r="AX73" s="372">
        <f t="shared" si="58"/>
        <v>34287.978582122327</v>
      </c>
      <c r="AY73" s="372">
        <f t="shared" si="58"/>
        <v>34287.978582122327</v>
      </c>
      <c r="AZ73" s="373">
        <f t="shared" si="58"/>
        <v>43183.677409756609</v>
      </c>
      <c r="BA73" s="371">
        <f t="shared" si="58"/>
        <v>34802.29826085415</v>
      </c>
      <c r="BB73" s="372">
        <f t="shared" si="58"/>
        <v>34802.29826085415</v>
      </c>
      <c r="BC73" s="372">
        <f t="shared" si="58"/>
        <v>34802.29826085415</v>
      </c>
      <c r="BD73" s="373">
        <f t="shared" si="58"/>
        <v>44053.825041593809</v>
      </c>
      <c r="BE73" s="371">
        <f t="shared" si="58"/>
        <v>35324.332734766962</v>
      </c>
      <c r="BF73" s="372">
        <f t="shared" si="58"/>
        <v>35324.332734766962</v>
      </c>
      <c r="BG73" s="372">
        <f t="shared" si="58"/>
        <v>35324.332734766962</v>
      </c>
      <c r="BH73" s="373">
        <f t="shared" si="58"/>
        <v>44945.920586736203</v>
      </c>
      <c r="BI73" s="371">
        <f t="shared" si="58"/>
        <v>35854.197725788457</v>
      </c>
      <c r="BJ73" s="372">
        <f t="shared" si="58"/>
        <v>35854.197725788457</v>
      </c>
      <c r="BK73" s="372">
        <f t="shared" si="58"/>
        <v>35854.197725788457</v>
      </c>
      <c r="BL73" s="373">
        <f t="shared" si="58"/>
        <v>45860.649091836465</v>
      </c>
      <c r="BM73" s="371">
        <f t="shared" si="58"/>
        <v>35854.197725788457</v>
      </c>
      <c r="BN73" s="372">
        <f t="shared" si="58"/>
        <v>35854.197725788457</v>
      </c>
      <c r="BO73" s="372">
        <f t="shared" si="58"/>
        <v>35854.197725788457</v>
      </c>
      <c r="BP73" s="373">
        <f t="shared" si="58"/>
        <v>46260.907146478392</v>
      </c>
      <c r="BQ73" s="371">
        <f t="shared" si="58"/>
        <v>35854.197725788457</v>
      </c>
      <c r="BR73" s="372">
        <f t="shared" si="58"/>
        <v>35854.197725788457</v>
      </c>
      <c r="BS73" s="372">
        <f t="shared" si="58"/>
        <v>35854.197725788457</v>
      </c>
      <c r="BT73" s="373">
        <f t="shared" si="58"/>
        <v>46677.175523305981</v>
      </c>
    </row>
    <row r="74" spans="2:72" s="339" customFormat="1" ht="15.75" customHeight="1" thickBot="1" x14ac:dyDescent="0.3">
      <c r="B74" s="340"/>
      <c r="C74" s="341"/>
      <c r="D74" s="370" t="s">
        <v>213</v>
      </c>
      <c r="E74" s="362">
        <f t="shared" ref="E74:AJ74" si="59">SUM(E58)</f>
        <v>0</v>
      </c>
      <c r="F74" s="363">
        <f t="shared" si="59"/>
        <v>0</v>
      </c>
      <c r="G74" s="363">
        <f t="shared" si="59"/>
        <v>0</v>
      </c>
      <c r="H74" s="364">
        <f t="shared" si="59"/>
        <v>0</v>
      </c>
      <c r="I74" s="362">
        <f t="shared" si="59"/>
        <v>0</v>
      </c>
      <c r="J74" s="363">
        <f t="shared" si="59"/>
        <v>0</v>
      </c>
      <c r="K74" s="363">
        <f t="shared" si="59"/>
        <v>0</v>
      </c>
      <c r="L74" s="364">
        <f t="shared" si="59"/>
        <v>0</v>
      </c>
      <c r="M74" s="362">
        <f t="shared" si="59"/>
        <v>2856</v>
      </c>
      <c r="N74" s="363">
        <f t="shared" si="59"/>
        <v>2856</v>
      </c>
      <c r="O74" s="363">
        <f t="shared" si="59"/>
        <v>2856</v>
      </c>
      <c r="P74" s="364">
        <f t="shared" si="59"/>
        <v>9106</v>
      </c>
      <c r="Q74" s="362">
        <f t="shared" si="59"/>
        <v>2898.84</v>
      </c>
      <c r="R74" s="363">
        <f t="shared" si="59"/>
        <v>2898.84</v>
      </c>
      <c r="S74" s="363">
        <f t="shared" si="59"/>
        <v>2898.84</v>
      </c>
      <c r="T74" s="364">
        <f t="shared" si="59"/>
        <v>9398.84</v>
      </c>
      <c r="U74" s="362">
        <f t="shared" si="59"/>
        <v>2942.3225999999995</v>
      </c>
      <c r="V74" s="363">
        <f t="shared" si="59"/>
        <v>2942.3225999999995</v>
      </c>
      <c r="W74" s="363">
        <f t="shared" si="59"/>
        <v>2942.3225999999995</v>
      </c>
      <c r="X74" s="364">
        <f t="shared" si="59"/>
        <v>9702.3225999999995</v>
      </c>
      <c r="Y74" s="362">
        <f t="shared" si="59"/>
        <v>2986.4574389999989</v>
      </c>
      <c r="Z74" s="363">
        <f t="shared" si="59"/>
        <v>2986.4574389999989</v>
      </c>
      <c r="AA74" s="363">
        <f t="shared" si="59"/>
        <v>2986.4574389999989</v>
      </c>
      <c r="AB74" s="364">
        <f t="shared" si="59"/>
        <v>10016.857438999999</v>
      </c>
      <c r="AC74" s="362">
        <f t="shared" si="59"/>
        <v>3031.2543005849984</v>
      </c>
      <c r="AD74" s="363">
        <f t="shared" si="59"/>
        <v>3031.2543005849984</v>
      </c>
      <c r="AE74" s="363">
        <f t="shared" si="59"/>
        <v>3031.2543005849984</v>
      </c>
      <c r="AF74" s="364">
        <f t="shared" si="59"/>
        <v>10342.870300585</v>
      </c>
      <c r="AG74" s="362">
        <f t="shared" si="59"/>
        <v>3076.7231150937732</v>
      </c>
      <c r="AH74" s="363">
        <f t="shared" si="59"/>
        <v>3076.7231150937732</v>
      </c>
      <c r="AI74" s="363">
        <f t="shared" si="59"/>
        <v>3076.7231150937732</v>
      </c>
      <c r="AJ74" s="364">
        <f t="shared" si="59"/>
        <v>10680.803755093773</v>
      </c>
      <c r="AK74" s="362">
        <f t="shared" ref="AK74:BT74" si="60">SUM(AK58)</f>
        <v>3122.8739618201794</v>
      </c>
      <c r="AL74" s="363">
        <f t="shared" si="60"/>
        <v>3122.8739618201794</v>
      </c>
      <c r="AM74" s="363">
        <f t="shared" si="60"/>
        <v>3122.8739618201794</v>
      </c>
      <c r="AN74" s="364">
        <f t="shared" si="60"/>
        <v>11031.117827420179</v>
      </c>
      <c r="AO74" s="362">
        <f t="shared" si="60"/>
        <v>3169.7170712474813</v>
      </c>
      <c r="AP74" s="363">
        <f t="shared" si="60"/>
        <v>3169.7170712474813</v>
      </c>
      <c r="AQ74" s="363">
        <f t="shared" si="60"/>
        <v>3169.7170712474813</v>
      </c>
      <c r="AR74" s="364">
        <f t="shared" si="60"/>
        <v>11394.290691471482</v>
      </c>
      <c r="AS74" s="362">
        <f t="shared" si="60"/>
        <v>3217.2628273161936</v>
      </c>
      <c r="AT74" s="363">
        <f t="shared" si="60"/>
        <v>3217.2628273161936</v>
      </c>
      <c r="AU74" s="363">
        <f t="shared" si="60"/>
        <v>3217.2628273161936</v>
      </c>
      <c r="AV74" s="364">
        <f t="shared" si="60"/>
        <v>11770.819392349154</v>
      </c>
      <c r="AW74" s="362">
        <f t="shared" si="60"/>
        <v>3265.5217697259359</v>
      </c>
      <c r="AX74" s="363">
        <f t="shared" si="60"/>
        <v>3265.5217697259359</v>
      </c>
      <c r="AY74" s="363">
        <f t="shared" si="60"/>
        <v>3265.5217697259359</v>
      </c>
      <c r="AZ74" s="364">
        <f t="shared" si="60"/>
        <v>12161.220597360216</v>
      </c>
      <c r="BA74" s="362">
        <f t="shared" si="60"/>
        <v>3314.5045962718245</v>
      </c>
      <c r="BB74" s="363">
        <f t="shared" si="60"/>
        <v>3314.5045962718245</v>
      </c>
      <c r="BC74" s="363">
        <f t="shared" si="60"/>
        <v>3314.5045962718245</v>
      </c>
      <c r="BD74" s="364">
        <f t="shared" si="60"/>
        <v>12566.031377011475</v>
      </c>
      <c r="BE74" s="362">
        <f t="shared" si="60"/>
        <v>3364.2221652159019</v>
      </c>
      <c r="BF74" s="363">
        <f t="shared" si="60"/>
        <v>3364.2221652159019</v>
      </c>
      <c r="BG74" s="363">
        <f t="shared" si="60"/>
        <v>3364.2221652159019</v>
      </c>
      <c r="BH74" s="364">
        <f t="shared" si="60"/>
        <v>12985.81001718514</v>
      </c>
      <c r="BI74" s="362">
        <f t="shared" si="60"/>
        <v>3414.685497694139</v>
      </c>
      <c r="BJ74" s="363">
        <f t="shared" si="60"/>
        <v>3414.685497694139</v>
      </c>
      <c r="BK74" s="363">
        <f t="shared" si="60"/>
        <v>3414.685497694139</v>
      </c>
      <c r="BL74" s="364">
        <f t="shared" si="60"/>
        <v>13421.136863742147</v>
      </c>
      <c r="BM74" s="362">
        <f t="shared" si="60"/>
        <v>3414.685497694139</v>
      </c>
      <c r="BN74" s="363">
        <f t="shared" si="60"/>
        <v>3414.685497694139</v>
      </c>
      <c r="BO74" s="363">
        <f t="shared" si="60"/>
        <v>3414.685497694139</v>
      </c>
      <c r="BP74" s="364">
        <f t="shared" si="60"/>
        <v>13821.394918384067</v>
      </c>
      <c r="BQ74" s="362">
        <f t="shared" si="60"/>
        <v>3414.685497694139</v>
      </c>
      <c r="BR74" s="363">
        <f t="shared" si="60"/>
        <v>3414.685497694139</v>
      </c>
      <c r="BS74" s="363">
        <f t="shared" si="60"/>
        <v>3414.685497694139</v>
      </c>
      <c r="BT74" s="364">
        <f t="shared" si="60"/>
        <v>14237.663295211663</v>
      </c>
    </row>
    <row r="75" spans="2:72" s="345" customFormat="1" ht="16.5" customHeight="1" thickBot="1" x14ac:dyDescent="0.3">
      <c r="B75" s="500" t="s">
        <v>214</v>
      </c>
      <c r="C75" s="500"/>
      <c r="D75" s="500"/>
      <c r="E75" s="346">
        <f t="shared" ref="E75:AJ75" si="61">E73-E74</f>
        <v>0</v>
      </c>
      <c r="F75" s="347">
        <f t="shared" si="61"/>
        <v>0</v>
      </c>
      <c r="G75" s="347">
        <f t="shared" si="61"/>
        <v>0</v>
      </c>
      <c r="H75" s="348">
        <f t="shared" si="61"/>
        <v>0</v>
      </c>
      <c r="I75" s="346">
        <f t="shared" si="61"/>
        <v>0</v>
      </c>
      <c r="J75" s="347">
        <f t="shared" si="61"/>
        <v>0</v>
      </c>
      <c r="K75" s="347">
        <f t="shared" si="61"/>
        <v>0</v>
      </c>
      <c r="L75" s="348">
        <f t="shared" si="61"/>
        <v>0</v>
      </c>
      <c r="M75" s="346">
        <f t="shared" si="61"/>
        <v>27132</v>
      </c>
      <c r="N75" s="347">
        <f t="shared" si="61"/>
        <v>27132</v>
      </c>
      <c r="O75" s="347">
        <f t="shared" si="61"/>
        <v>27132</v>
      </c>
      <c r="P75" s="348">
        <f t="shared" si="61"/>
        <v>27132</v>
      </c>
      <c r="Q75" s="346">
        <f t="shared" si="61"/>
        <v>27538.980000000003</v>
      </c>
      <c r="R75" s="347">
        <f t="shared" si="61"/>
        <v>27538.980000000003</v>
      </c>
      <c r="S75" s="347">
        <f t="shared" si="61"/>
        <v>27538.980000000003</v>
      </c>
      <c r="T75" s="348">
        <f t="shared" si="61"/>
        <v>27538.98</v>
      </c>
      <c r="U75" s="346">
        <f t="shared" si="61"/>
        <v>27952.064699999992</v>
      </c>
      <c r="V75" s="347">
        <f t="shared" si="61"/>
        <v>27952.064699999992</v>
      </c>
      <c r="W75" s="347">
        <f t="shared" si="61"/>
        <v>27952.064699999992</v>
      </c>
      <c r="X75" s="348">
        <f t="shared" si="61"/>
        <v>27952.064699999995</v>
      </c>
      <c r="Y75" s="346">
        <f t="shared" si="61"/>
        <v>28371.345670499992</v>
      </c>
      <c r="Z75" s="347">
        <f t="shared" si="61"/>
        <v>28371.345670499992</v>
      </c>
      <c r="AA75" s="347">
        <f t="shared" si="61"/>
        <v>28371.345670499992</v>
      </c>
      <c r="AB75" s="348">
        <f t="shared" si="61"/>
        <v>28371.345670499992</v>
      </c>
      <c r="AC75" s="346">
        <f t="shared" si="61"/>
        <v>28796.915855557487</v>
      </c>
      <c r="AD75" s="347">
        <f t="shared" si="61"/>
        <v>28796.915855557487</v>
      </c>
      <c r="AE75" s="347">
        <f t="shared" si="61"/>
        <v>28796.915855557487</v>
      </c>
      <c r="AF75" s="348">
        <f t="shared" si="61"/>
        <v>28796.91585555748</v>
      </c>
      <c r="AG75" s="346">
        <f t="shared" si="61"/>
        <v>29228.869593390846</v>
      </c>
      <c r="AH75" s="347">
        <f t="shared" si="61"/>
        <v>29228.869593390846</v>
      </c>
      <c r="AI75" s="347">
        <f t="shared" si="61"/>
        <v>29228.869593390846</v>
      </c>
      <c r="AJ75" s="348">
        <f t="shared" si="61"/>
        <v>29228.869593390846</v>
      </c>
      <c r="AK75" s="346">
        <f t="shared" ref="AK75:BT75" si="62">AK73-AK74</f>
        <v>29667.302637291694</v>
      </c>
      <c r="AL75" s="347">
        <f t="shared" si="62"/>
        <v>29667.302637291694</v>
      </c>
      <c r="AM75" s="347">
        <f t="shared" si="62"/>
        <v>29667.302637291694</v>
      </c>
      <c r="AN75" s="348">
        <f t="shared" si="62"/>
        <v>29667.302637291694</v>
      </c>
      <c r="AO75" s="346">
        <f t="shared" si="62"/>
        <v>30112.312176851072</v>
      </c>
      <c r="AP75" s="347">
        <f t="shared" si="62"/>
        <v>30112.312176851072</v>
      </c>
      <c r="AQ75" s="347">
        <f t="shared" si="62"/>
        <v>30112.312176851072</v>
      </c>
      <c r="AR75" s="348">
        <f t="shared" si="62"/>
        <v>30112.312176851068</v>
      </c>
      <c r="AS75" s="346">
        <f t="shared" si="62"/>
        <v>30563.996859503834</v>
      </c>
      <c r="AT75" s="347">
        <f t="shared" si="62"/>
        <v>30563.996859503834</v>
      </c>
      <c r="AU75" s="347">
        <f t="shared" si="62"/>
        <v>30563.996859503834</v>
      </c>
      <c r="AV75" s="348">
        <f t="shared" si="62"/>
        <v>30563.99685950383</v>
      </c>
      <c r="AW75" s="346">
        <f t="shared" si="62"/>
        <v>31022.456812396391</v>
      </c>
      <c r="AX75" s="347">
        <f t="shared" si="62"/>
        <v>31022.456812396391</v>
      </c>
      <c r="AY75" s="347">
        <f t="shared" si="62"/>
        <v>31022.456812396391</v>
      </c>
      <c r="AZ75" s="348">
        <f t="shared" si="62"/>
        <v>31022.456812396391</v>
      </c>
      <c r="BA75" s="346">
        <f t="shared" si="62"/>
        <v>31487.793664582325</v>
      </c>
      <c r="BB75" s="347">
        <f t="shared" si="62"/>
        <v>31487.793664582325</v>
      </c>
      <c r="BC75" s="347">
        <f t="shared" si="62"/>
        <v>31487.793664582325</v>
      </c>
      <c r="BD75" s="348">
        <f t="shared" si="62"/>
        <v>31487.793664582336</v>
      </c>
      <c r="BE75" s="346">
        <f t="shared" si="62"/>
        <v>31960.11056955106</v>
      </c>
      <c r="BF75" s="347">
        <f t="shared" si="62"/>
        <v>31960.11056955106</v>
      </c>
      <c r="BG75" s="347">
        <f t="shared" si="62"/>
        <v>31960.11056955106</v>
      </c>
      <c r="BH75" s="348">
        <f t="shared" si="62"/>
        <v>31960.110569551063</v>
      </c>
      <c r="BI75" s="346">
        <f t="shared" si="62"/>
        <v>32439.512228094318</v>
      </c>
      <c r="BJ75" s="347">
        <f t="shared" si="62"/>
        <v>32439.512228094318</v>
      </c>
      <c r="BK75" s="347">
        <f t="shared" si="62"/>
        <v>32439.512228094318</v>
      </c>
      <c r="BL75" s="348">
        <f t="shared" si="62"/>
        <v>32439.512228094318</v>
      </c>
      <c r="BM75" s="346">
        <f t="shared" si="62"/>
        <v>32439.512228094318</v>
      </c>
      <c r="BN75" s="347">
        <f t="shared" si="62"/>
        <v>32439.512228094318</v>
      </c>
      <c r="BO75" s="347">
        <f t="shared" si="62"/>
        <v>32439.512228094318</v>
      </c>
      <c r="BP75" s="348">
        <f t="shared" si="62"/>
        <v>32439.512228094325</v>
      </c>
      <c r="BQ75" s="346">
        <f t="shared" si="62"/>
        <v>32439.512228094318</v>
      </c>
      <c r="BR75" s="347">
        <f t="shared" si="62"/>
        <v>32439.512228094318</v>
      </c>
      <c r="BS75" s="347">
        <f t="shared" si="62"/>
        <v>32439.512228094318</v>
      </c>
      <c r="BT75" s="348">
        <f t="shared" si="62"/>
        <v>32439.512228094318</v>
      </c>
    </row>
    <row r="76" spans="2:72" s="356" customFormat="1" ht="16.5" customHeight="1" thickBot="1" x14ac:dyDescent="0.3">
      <c r="D76" s="367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AO76" s="368"/>
      <c r="AP76" s="368"/>
      <c r="AQ76" s="368"/>
      <c r="AR76" s="368"/>
      <c r="AS76" s="368"/>
      <c r="AT76" s="368"/>
      <c r="AU76" s="368"/>
      <c r="AV76" s="368"/>
      <c r="AW76" s="368"/>
      <c r="AX76" s="368"/>
      <c r="AY76" s="368"/>
      <c r="BM76" s="339"/>
      <c r="BN76" s="339"/>
      <c r="BO76" s="339"/>
      <c r="BP76" s="339"/>
      <c r="BQ76" s="339"/>
      <c r="BR76" s="339"/>
      <c r="BS76" s="339"/>
      <c r="BT76" s="339"/>
    </row>
    <row r="77" spans="2:72" s="374" customFormat="1" ht="16.5" customHeight="1" thickBot="1" x14ac:dyDescent="0.3">
      <c r="B77" s="487" t="s">
        <v>215</v>
      </c>
      <c r="C77" s="487"/>
      <c r="D77" s="487"/>
      <c r="E77" s="375">
        <f t="shared" ref="E77:AN77" ca="1" si="63">E47-E71-E75</f>
        <v>-33565.243407707909</v>
      </c>
      <c r="F77" s="375">
        <f t="shared" si="63"/>
        <v>-26778.964883367138</v>
      </c>
      <c r="G77" s="375">
        <f t="shared" si="63"/>
        <v>-26778.964883367138</v>
      </c>
      <c r="H77" s="376">
        <f t="shared" si="63"/>
        <v>-26778.964883367138</v>
      </c>
      <c r="I77" s="377">
        <f t="shared" si="63"/>
        <v>-29316.464883367138</v>
      </c>
      <c r="J77" s="375">
        <f t="shared" si="63"/>
        <v>-26778.964883367138</v>
      </c>
      <c r="K77" s="375">
        <f t="shared" si="63"/>
        <v>-26778.964883367138</v>
      </c>
      <c r="L77" s="376">
        <f t="shared" si="63"/>
        <v>-26778.964883367138</v>
      </c>
      <c r="M77" s="377">
        <f t="shared" ca="1" si="63"/>
        <v>77425.232574980546</v>
      </c>
      <c r="N77" s="375">
        <f t="shared" ca="1" si="63"/>
        <v>80091.568008032657</v>
      </c>
      <c r="O77" s="375">
        <f t="shared" ca="1" si="63"/>
        <v>80182.983250806865</v>
      </c>
      <c r="P77" s="376">
        <f t="shared" ca="1" si="63"/>
        <v>80275.084107901886</v>
      </c>
      <c r="Q77" s="377">
        <f t="shared" ca="1" si="63"/>
        <v>79788.579783925117</v>
      </c>
      <c r="R77" s="375">
        <f t="shared" ca="1" si="63"/>
        <v>82496.263272049779</v>
      </c>
      <c r="S77" s="375">
        <f t="shared" ca="1" si="63"/>
        <v>82590.45197930414</v>
      </c>
      <c r="T77" s="376">
        <f t="shared" ca="1" si="63"/>
        <v>82685.347101862877</v>
      </c>
      <c r="U77" s="377">
        <f t="shared" ca="1" si="63"/>
        <v>82192.968561278249</v>
      </c>
      <c r="V77" s="375">
        <f t="shared" ca="1" si="63"/>
        <v>84942.701325088507</v>
      </c>
      <c r="W77" s="375">
        <f t="shared" ca="1" si="63"/>
        <v>85039.747641490641</v>
      </c>
      <c r="X77" s="376">
        <f t="shared" ca="1" si="63"/>
        <v>85137.521805265773</v>
      </c>
      <c r="Y77" s="377">
        <f t="shared" ca="1" si="63"/>
        <v>84639.224118058308</v>
      </c>
      <c r="Z77" s="375">
        <f t="shared" ca="1" si="63"/>
        <v>87431.680403797742</v>
      </c>
      <c r="AA77" s="375">
        <f t="shared" ca="1" si="63"/>
        <v>87531.671026896423</v>
      </c>
      <c r="AB77" s="376">
        <f t="shared" ca="1" si="63"/>
        <v>87632.411579668347</v>
      </c>
      <c r="AC77" s="377">
        <f t="shared" ca="1" si="63"/>
        <v>87128.150452016998</v>
      </c>
      <c r="AD77" s="375">
        <f t="shared" ca="1" si="63"/>
        <v>89964.015939593199</v>
      </c>
      <c r="AE77" s="375">
        <f t="shared" ca="1" si="63"/>
        <v>90067.040197270719</v>
      </c>
      <c r="AF77" s="376">
        <f t="shared" ca="1" si="63"/>
        <v>90170.837136880786</v>
      </c>
      <c r="AG77" s="377">
        <f t="shared" ca="1" si="63"/>
        <v>82636.58680831056</v>
      </c>
      <c r="AH77" s="375">
        <f t="shared" ca="1" si="63"/>
        <v>85411.199090565016</v>
      </c>
      <c r="AI77" s="375">
        <f t="shared" ca="1" si="63"/>
        <v>85411.199090565016</v>
      </c>
      <c r="AJ77" s="376">
        <f t="shared" ca="1" si="63"/>
        <v>85411.199090565016</v>
      </c>
      <c r="AK77" s="377">
        <f t="shared" ca="1" si="63"/>
        <v>84787.132843580999</v>
      </c>
      <c r="AL77" s="375">
        <f t="shared" ca="1" si="63"/>
        <v>87603.364310069257</v>
      </c>
      <c r="AM77" s="375">
        <f t="shared" ca="1" si="63"/>
        <v>87603.364310069272</v>
      </c>
      <c r="AN77" s="376">
        <f t="shared" ca="1" si="63"/>
        <v>87603.364310069272</v>
      </c>
      <c r="AO77" s="377">
        <f t="shared" ref="AO77:BT77" ca="1" si="64">+AO47-AO71-AO75</f>
        <v>86969.937069380554</v>
      </c>
      <c r="AP77" s="375">
        <f t="shared" ca="1" si="64"/>
        <v>89828.412007866151</v>
      </c>
      <c r="AQ77" s="375">
        <f t="shared" ca="1" si="64"/>
        <v>89828.412007866136</v>
      </c>
      <c r="AR77" s="376">
        <f t="shared" ca="1" si="64"/>
        <v>89828.412007866136</v>
      </c>
      <c r="AS77" s="377">
        <f t="shared" ca="1" si="64"/>
        <v>89185.4833585671</v>
      </c>
      <c r="AT77" s="375">
        <f t="shared" ca="1" si="64"/>
        <v>92086.835421129959</v>
      </c>
      <c r="AU77" s="375">
        <f t="shared" ca="1" si="64"/>
        <v>92086.835421129959</v>
      </c>
      <c r="AV77" s="376">
        <f t="shared" ca="1" si="64"/>
        <v>92086.835421129974</v>
      </c>
      <c r="AW77" s="377">
        <f t="shared" ca="1" si="64"/>
        <v>91434.262842091382</v>
      </c>
      <c r="AX77" s="375">
        <f t="shared" ca="1" si="64"/>
        <v>94379.135185592721</v>
      </c>
      <c r="AY77" s="375">
        <f t="shared" ca="1" si="64"/>
        <v>94379.135185592691</v>
      </c>
      <c r="AZ77" s="376">
        <f t="shared" ca="1" si="64"/>
        <v>94379.135185592721</v>
      </c>
      <c r="BA77" s="377">
        <f t="shared" ca="1" si="64"/>
        <v>93716.774017868593</v>
      </c>
      <c r="BB77" s="375">
        <f t="shared" ca="1" si="64"/>
        <v>96705.819446522422</v>
      </c>
      <c r="BC77" s="375">
        <f t="shared" ca="1" si="64"/>
        <v>96705.819446522422</v>
      </c>
      <c r="BD77" s="376">
        <f t="shared" ca="1" si="64"/>
        <v>96705.819446522393</v>
      </c>
      <c r="BE77" s="377">
        <f t="shared" ca="1" si="64"/>
        <v>96033.522861282458</v>
      </c>
      <c r="BF77" s="375">
        <f t="shared" ca="1" si="64"/>
        <v>99067.403971366104</v>
      </c>
      <c r="BG77" s="375">
        <f t="shared" ca="1" si="64"/>
        <v>99067.403971366104</v>
      </c>
      <c r="BH77" s="376">
        <f t="shared" ca="1" si="64"/>
        <v>99067.40397136606</v>
      </c>
      <c r="BI77" s="377">
        <f t="shared" ca="1" si="64"/>
        <v>98385.022937347487</v>
      </c>
      <c r="BJ77" s="375">
        <f t="shared" ca="1" si="64"/>
        <v>101464.41226408236</v>
      </c>
      <c r="BK77" s="375">
        <f t="shared" ca="1" si="64"/>
        <v>101464.41226408236</v>
      </c>
      <c r="BL77" s="376">
        <f t="shared" ca="1" si="64"/>
        <v>101464.41226408236</v>
      </c>
      <c r="BM77" s="377">
        <f t="shared" ca="1" si="64"/>
        <v>98338.832097446459</v>
      </c>
      <c r="BN77" s="375">
        <f t="shared" ca="1" si="64"/>
        <v>101464.41226408239</v>
      </c>
      <c r="BO77" s="375">
        <f t="shared" ca="1" si="64"/>
        <v>101464.41226408239</v>
      </c>
      <c r="BP77" s="376">
        <f t="shared" ca="1" si="64"/>
        <v>101464.41226408238</v>
      </c>
      <c r="BQ77" s="377">
        <f t="shared" ca="1" si="64"/>
        <v>98291.948394946914</v>
      </c>
      <c r="BR77" s="375">
        <f t="shared" ca="1" si="64"/>
        <v>101464.41226408236</v>
      </c>
      <c r="BS77" s="375">
        <f t="shared" ca="1" si="64"/>
        <v>101464.41226408236</v>
      </c>
      <c r="BT77" s="376">
        <f t="shared" ca="1" si="64"/>
        <v>101464.41226408236</v>
      </c>
    </row>
    <row r="78" spans="2:72" s="374" customFormat="1" ht="16.5" customHeight="1" thickBot="1" x14ac:dyDescent="0.3">
      <c r="B78" s="381"/>
      <c r="C78" s="381"/>
      <c r="D78" s="381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  <c r="AZ78" s="378"/>
      <c r="BA78" s="378"/>
      <c r="BB78" s="378"/>
      <c r="BC78" s="378"/>
      <c r="BD78" s="378"/>
      <c r="BE78" s="378"/>
      <c r="BF78" s="378"/>
      <c r="BG78" s="378"/>
      <c r="BH78" s="378"/>
      <c r="BI78" s="378"/>
      <c r="BJ78" s="378"/>
      <c r="BK78" s="378"/>
      <c r="BL78" s="378"/>
      <c r="BM78" s="378"/>
      <c r="BQ78" s="378"/>
    </row>
    <row r="79" spans="2:72" s="374" customFormat="1" ht="16.5" customHeight="1" thickBot="1" x14ac:dyDescent="0.3">
      <c r="B79" s="487" t="s">
        <v>346</v>
      </c>
      <c r="C79" s="487"/>
      <c r="D79" s="487"/>
      <c r="E79" s="378">
        <v>250000</v>
      </c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>
        <v>-2600000</v>
      </c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  <c r="AZ79" s="378"/>
      <c r="BA79" s="378"/>
      <c r="BB79" s="378"/>
      <c r="BC79" s="378"/>
      <c r="BD79" s="378"/>
      <c r="BE79" s="378"/>
      <c r="BF79" s="378"/>
      <c r="BG79" s="378"/>
      <c r="BH79" s="378"/>
      <c r="BI79" s="378"/>
      <c r="BJ79" s="378"/>
      <c r="BK79" s="378"/>
      <c r="BL79" s="378"/>
      <c r="BM79" s="378"/>
      <c r="BQ79" s="378"/>
    </row>
    <row r="80" spans="2:72" s="356" customFormat="1" ht="16.5" customHeight="1" thickBot="1" x14ac:dyDescent="0.3">
      <c r="D80" s="367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68"/>
      <c r="AP80" s="368"/>
      <c r="AQ80" s="368"/>
      <c r="AR80" s="368"/>
      <c r="AS80" s="368"/>
      <c r="AT80" s="368"/>
      <c r="AU80" s="368"/>
      <c r="AV80" s="368"/>
      <c r="AW80" s="368"/>
      <c r="AX80" s="368"/>
      <c r="AY80" s="368"/>
      <c r="BM80" s="339"/>
      <c r="BN80" s="339"/>
      <c r="BO80" s="339"/>
      <c r="BP80" s="339"/>
      <c r="BQ80" s="339"/>
      <c r="BR80" s="339"/>
      <c r="BS80" s="339"/>
      <c r="BT80" s="339"/>
    </row>
    <row r="81" spans="2:72" s="374" customFormat="1" ht="16.5" customHeight="1" thickBot="1" x14ac:dyDescent="0.3">
      <c r="B81" s="487" t="s">
        <v>216</v>
      </c>
      <c r="C81" s="487"/>
      <c r="D81" s="487"/>
      <c r="E81" s="377">
        <f ca="1">E77+E79</f>
        <v>216434.75659229211</v>
      </c>
      <c r="F81" s="375">
        <f t="shared" ref="F81:AK81" ca="1" si="65">E81+F77</f>
        <v>189655.79170892498</v>
      </c>
      <c r="G81" s="375">
        <f t="shared" ca="1" si="65"/>
        <v>162876.82682555786</v>
      </c>
      <c r="H81" s="376">
        <f t="shared" ca="1" si="65"/>
        <v>136097.86194219074</v>
      </c>
      <c r="I81" s="377">
        <f t="shared" ca="1" si="65"/>
        <v>106781.3970588236</v>
      </c>
      <c r="J81" s="375">
        <f t="shared" ca="1" si="65"/>
        <v>80002.432175456459</v>
      </c>
      <c r="K81" s="375">
        <f t="shared" ca="1" si="65"/>
        <v>53223.467292089321</v>
      </c>
      <c r="L81" s="376">
        <f t="shared" ca="1" si="65"/>
        <v>26444.502408722183</v>
      </c>
      <c r="M81" s="377">
        <f t="shared" ca="1" si="65"/>
        <v>103869.73498370273</v>
      </c>
      <c r="N81" s="375">
        <f t="shared" ca="1" si="65"/>
        <v>183961.3029917354</v>
      </c>
      <c r="O81" s="375">
        <f t="shared" ca="1" si="65"/>
        <v>264144.28624254226</v>
      </c>
      <c r="P81" s="376">
        <f t="shared" ca="1" si="65"/>
        <v>344419.37035044417</v>
      </c>
      <c r="Q81" s="377">
        <f t="shared" ca="1" si="65"/>
        <v>424207.95013436931</v>
      </c>
      <c r="R81" s="375">
        <f t="shared" ca="1" si="65"/>
        <v>506704.21340641909</v>
      </c>
      <c r="S81" s="375">
        <f t="shared" ca="1" si="65"/>
        <v>589294.66538572323</v>
      </c>
      <c r="T81" s="376">
        <f t="shared" ca="1" si="65"/>
        <v>671980.01248758612</v>
      </c>
      <c r="U81" s="377">
        <f t="shared" ca="1" si="65"/>
        <v>754172.98104886431</v>
      </c>
      <c r="V81" s="375">
        <f t="shared" ca="1" si="65"/>
        <v>839115.68237395282</v>
      </c>
      <c r="W81" s="375">
        <f t="shared" ca="1" si="65"/>
        <v>924155.43001544347</v>
      </c>
      <c r="X81" s="376">
        <f t="shared" ca="1" si="65"/>
        <v>1009292.9518207093</v>
      </c>
      <c r="Y81" s="377">
        <f t="shared" ca="1" si="65"/>
        <v>1093932.1759387676</v>
      </c>
      <c r="Z81" s="375">
        <f t="shared" ca="1" si="65"/>
        <v>1181363.8563425653</v>
      </c>
      <c r="AA81" s="375">
        <f t="shared" ca="1" si="65"/>
        <v>1268895.5273694617</v>
      </c>
      <c r="AB81" s="376">
        <f t="shared" ca="1" si="65"/>
        <v>1356527.93894913</v>
      </c>
      <c r="AC81" s="377">
        <f t="shared" ca="1" si="65"/>
        <v>1443656.0894011471</v>
      </c>
      <c r="AD81" s="375">
        <f t="shared" ca="1" si="65"/>
        <v>1533620.1053407402</v>
      </c>
      <c r="AE81" s="375">
        <f t="shared" ca="1" si="65"/>
        <v>1623687.1455380109</v>
      </c>
      <c r="AF81" s="376">
        <f t="shared" ca="1" si="65"/>
        <v>1713857.9826748916</v>
      </c>
      <c r="AG81" s="377">
        <f t="shared" ca="1" si="65"/>
        <v>1796494.5694832022</v>
      </c>
      <c r="AH81" s="375">
        <f t="shared" ca="1" si="65"/>
        <v>1881905.7685737673</v>
      </c>
      <c r="AI81" s="375">
        <f t="shared" ca="1" si="65"/>
        <v>1967316.9676643324</v>
      </c>
      <c r="AJ81" s="376">
        <f t="shared" ca="1" si="65"/>
        <v>2052728.1667548975</v>
      </c>
      <c r="AK81" s="377">
        <f t="shared" ca="1" si="65"/>
        <v>2137515.2995984782</v>
      </c>
      <c r="AL81" s="375">
        <f t="shared" ref="AL81:BL81" ca="1" si="66">AK81+AL77</f>
        <v>2225118.6639085477</v>
      </c>
      <c r="AM81" s="375">
        <f t="shared" ca="1" si="66"/>
        <v>2312722.0282186172</v>
      </c>
      <c r="AN81" s="376">
        <f t="shared" ca="1" si="66"/>
        <v>2400325.3925286867</v>
      </c>
      <c r="AO81" s="377">
        <f t="shared" ca="1" si="66"/>
        <v>2487295.3295980673</v>
      </c>
      <c r="AP81" s="375">
        <f t="shared" ca="1" si="66"/>
        <v>2577123.7416059333</v>
      </c>
      <c r="AQ81" s="375">
        <f t="shared" ca="1" si="66"/>
        <v>2666952.1536137993</v>
      </c>
      <c r="AR81" s="376">
        <f t="shared" ca="1" si="66"/>
        <v>2756780.5656216652</v>
      </c>
      <c r="AS81" s="377">
        <f t="shared" ca="1" si="66"/>
        <v>2845966.0489802323</v>
      </c>
      <c r="AT81" s="375">
        <f t="shared" ca="1" si="66"/>
        <v>2938052.8844013624</v>
      </c>
      <c r="AU81" s="375">
        <f t="shared" ca="1" si="66"/>
        <v>3030139.7198224925</v>
      </c>
      <c r="AV81" s="376">
        <f t="shared" ca="1" si="66"/>
        <v>3122226.5552436225</v>
      </c>
      <c r="AW81" s="377">
        <f t="shared" ca="1" si="66"/>
        <v>3213660.8180857138</v>
      </c>
      <c r="AX81" s="375">
        <f t="shared" ca="1" si="66"/>
        <v>3308039.9532713066</v>
      </c>
      <c r="AY81" s="375">
        <f t="shared" ca="1" si="66"/>
        <v>3402419.0884568994</v>
      </c>
      <c r="AZ81" s="376">
        <f t="shared" ca="1" si="66"/>
        <v>3496798.2236424922</v>
      </c>
      <c r="BA81" s="377">
        <f t="shared" ca="1" si="66"/>
        <v>3590514.9976603608</v>
      </c>
      <c r="BB81" s="375">
        <f t="shared" ca="1" si="66"/>
        <v>3687220.817106883</v>
      </c>
      <c r="BC81" s="375">
        <f t="shared" ca="1" si="66"/>
        <v>3783926.6365534053</v>
      </c>
      <c r="BD81" s="376">
        <f t="shared" ca="1" si="66"/>
        <v>3880632.4559999276</v>
      </c>
      <c r="BE81" s="377">
        <f t="shared" ca="1" si="66"/>
        <v>3976665.9788612099</v>
      </c>
      <c r="BF81" s="375">
        <f t="shared" ca="1" si="66"/>
        <v>4075733.3828325761</v>
      </c>
      <c r="BG81" s="375">
        <f t="shared" ca="1" si="66"/>
        <v>4174800.7868039422</v>
      </c>
      <c r="BH81" s="376">
        <f t="shared" ca="1" si="66"/>
        <v>4273868.1907753078</v>
      </c>
      <c r="BI81" s="377">
        <f t="shared" ca="1" si="66"/>
        <v>4372253.213712655</v>
      </c>
      <c r="BJ81" s="375">
        <f t="shared" ca="1" si="66"/>
        <v>4473717.6259767376</v>
      </c>
      <c r="BK81" s="375">
        <f t="shared" ca="1" si="66"/>
        <v>4575182.0382408202</v>
      </c>
      <c r="BL81" s="376">
        <f t="shared" ca="1" si="66"/>
        <v>4676646.4505049028</v>
      </c>
      <c r="BM81" s="377">
        <f t="shared" ref="BM81" ca="1" si="67">BL81+BM77</f>
        <v>4774985.2826023493</v>
      </c>
      <c r="BN81" s="375">
        <f t="shared" ref="BN81" ca="1" si="68">BM81+BN77</f>
        <v>4876449.6948664319</v>
      </c>
      <c r="BO81" s="375">
        <f t="shared" ref="BO81" ca="1" si="69">BN81+BO77</f>
        <v>4977914.1071305145</v>
      </c>
      <c r="BP81" s="376">
        <f t="shared" ref="BP81" ca="1" si="70">BO81+BP77</f>
        <v>5079378.519394597</v>
      </c>
      <c r="BQ81" s="377">
        <f t="shared" ref="BQ81" ca="1" si="71">BP81+BQ77</f>
        <v>5177670.4677895438</v>
      </c>
      <c r="BR81" s="375">
        <f t="shared" ref="BR81" ca="1" si="72">BQ81+BR77</f>
        <v>5279134.8800536264</v>
      </c>
      <c r="BS81" s="375">
        <f t="shared" ref="BS81" ca="1" si="73">BR81+BS77</f>
        <v>5380599.292317709</v>
      </c>
      <c r="BT81" s="376">
        <f t="shared" ref="BT81" ca="1" si="74">BS81+BT77</f>
        <v>5482063.7045817915</v>
      </c>
    </row>
    <row r="82" spans="2:72" s="374" customFormat="1" ht="15.75" customHeight="1" x14ac:dyDescent="0.25">
      <c r="B82" s="381"/>
      <c r="C82" s="381"/>
      <c r="D82" s="381"/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  <c r="AZ82" s="378"/>
      <c r="BA82" s="378"/>
      <c r="BB82" s="378"/>
      <c r="BC82" s="378"/>
      <c r="BD82" s="378"/>
      <c r="BE82" s="378"/>
      <c r="BF82" s="378"/>
      <c r="BG82" s="378"/>
      <c r="BH82" s="378"/>
      <c r="BI82" s="378"/>
      <c r="BJ82" s="378"/>
      <c r="BK82" s="378"/>
      <c r="BL82" s="378"/>
      <c r="BM82" s="378"/>
      <c r="BQ82" s="378"/>
    </row>
    <row r="83" spans="2:72" s="339" customFormat="1" x14ac:dyDescent="0.25">
      <c r="B83" s="340" t="s">
        <v>217</v>
      </c>
      <c r="C83" s="341"/>
      <c r="D83" s="334"/>
      <c r="E83" s="339">
        <f t="shared" ref="E83:AJ83" ca="1" si="75">E46-E57-E63</f>
        <v>-33565.243407707909</v>
      </c>
      <c r="F83" s="339">
        <f t="shared" si="75"/>
        <v>-26778.964883367138</v>
      </c>
      <c r="G83" s="339">
        <f t="shared" si="75"/>
        <v>-26778.964883367138</v>
      </c>
      <c r="H83" s="339">
        <f t="shared" si="75"/>
        <v>-26778.964883367138</v>
      </c>
      <c r="I83" s="339">
        <f t="shared" si="75"/>
        <v>-29316.464883367138</v>
      </c>
      <c r="J83" s="339">
        <f t="shared" si="75"/>
        <v>-26778.964883367138</v>
      </c>
      <c r="K83" s="339">
        <f t="shared" si="75"/>
        <v>-26778.964883367138</v>
      </c>
      <c r="L83" s="339">
        <f t="shared" si="75"/>
        <v>-26778.964883367138</v>
      </c>
      <c r="M83" s="339">
        <f t="shared" ca="1" si="75"/>
        <v>102019.19409229209</v>
      </c>
      <c r="N83" s="339">
        <f t="shared" ca="1" si="75"/>
        <v>104891.43564697891</v>
      </c>
      <c r="O83" s="339">
        <f t="shared" ca="1" si="75"/>
        <v>105191.08149221259</v>
      </c>
      <c r="P83" s="339">
        <f t="shared" ca="1" si="75"/>
        <v>105493.72379589861</v>
      </c>
      <c r="Q83" s="339">
        <f t="shared" ca="1" si="75"/>
        <v>105220.09658512149</v>
      </c>
      <c r="R83" s="339">
        <f t="shared" ca="1" si="75"/>
        <v>108143.01793661158</v>
      </c>
      <c r="S83" s="339">
        <f t="shared" ca="1" si="75"/>
        <v>108454.83060474158</v>
      </c>
      <c r="T83" s="339">
        <f t="shared" ca="1" si="75"/>
        <v>108769.76139955292</v>
      </c>
      <c r="U83" s="339">
        <f t="shared" ca="1" si="75"/>
        <v>108499.85612574976</v>
      </c>
      <c r="V83" s="339">
        <f t="shared" ca="1" si="75"/>
        <v>111474.5259060993</v>
      </c>
      <c r="W83" s="339">
        <f t="shared" ca="1" si="75"/>
        <v>111798.9994189242</v>
      </c>
      <c r="X83" s="339">
        <f t="shared" ca="1" si="75"/>
        <v>112126.7176668773</v>
      </c>
      <c r="Y83" s="339">
        <f t="shared" ca="1" si="75"/>
        <v>111860.90794009902</v>
      </c>
      <c r="Z83" s="339">
        <f t="shared" ca="1" si="75"/>
        <v>114888.42333454697</v>
      </c>
      <c r="AA83" s="339">
        <f t="shared" ca="1" si="75"/>
        <v>115226.07177313133</v>
      </c>
      <c r="AB83" s="339">
        <f t="shared" ca="1" si="75"/>
        <v>115567.09669610154</v>
      </c>
      <c r="AC83" s="339">
        <f t="shared" ca="1" si="75"/>
        <v>115305.7746337323</v>
      </c>
      <c r="AD83" s="339">
        <f t="shared" ca="1" si="75"/>
        <v>118387.26231751082</v>
      </c>
      <c r="AE83" s="339">
        <f t="shared" ca="1" si="75"/>
        <v>118738.62063667194</v>
      </c>
      <c r="AF83" s="339">
        <f t="shared" ca="1" si="75"/>
        <v>119093.49253902468</v>
      </c>
      <c r="AG83" s="339">
        <f t="shared" ca="1" si="75"/>
        <v>118837.0695673133</v>
      </c>
      <c r="AH83" s="339">
        <f t="shared" ca="1" si="75"/>
        <v>121973.68667715778</v>
      </c>
      <c r="AI83" s="339">
        <f t="shared" ca="1" si="75"/>
        <v>122339.31155302371</v>
      </c>
      <c r="AJ83" s="339">
        <f t="shared" ca="1" si="75"/>
        <v>122708.5926776483</v>
      </c>
      <c r="AK83" s="339">
        <f t="shared" ref="AK83:BT83" ca="1" si="76">AK46-AK57-AK63</f>
        <v>122457.5003665351</v>
      </c>
      <c r="AL83" s="339">
        <f t="shared" ca="1" si="76"/>
        <v>125650.43550825291</v>
      </c>
      <c r="AM83" s="339">
        <f t="shared" ca="1" si="76"/>
        <v>126030.90622023476</v>
      </c>
      <c r="AN83" s="339">
        <f t="shared" ca="1" si="76"/>
        <v>126415.18163933643</v>
      </c>
      <c r="AO83" s="339">
        <f t="shared" ca="1" si="76"/>
        <v>126169.87257194037</v>
      </c>
      <c r="AP83" s="339">
        <f t="shared" ca="1" si="76"/>
        <v>129420.34686545157</v>
      </c>
      <c r="AQ83" s="339">
        <f t="shared" ca="1" si="76"/>
        <v>129816.26621402742</v>
      </c>
      <c r="AR83" s="339">
        <f t="shared" ca="1" si="76"/>
        <v>130216.14475608901</v>
      </c>
      <c r="AS83" s="339">
        <f t="shared" ca="1" si="76"/>
        <v>129977.09343427222</v>
      </c>
      <c r="AT83" s="339">
        <f t="shared" ca="1" si="76"/>
        <v>133286.36159759213</v>
      </c>
      <c r="AU83" s="339">
        <f t="shared" ca="1" si="76"/>
        <v>133698.35685935675</v>
      </c>
      <c r="AV83" s="339">
        <f t="shared" ca="1" si="76"/>
        <v>134114.47207373902</v>
      </c>
      <c r="AW83" s="339">
        <f t="shared" ca="1" si="76"/>
        <v>133882.17586122654</v>
      </c>
      <c r="AX83" s="339">
        <f t="shared" ca="1" si="76"/>
        <v>137251.52733491923</v>
      </c>
      <c r="AY83" s="339">
        <f t="shared" ca="1" si="76"/>
        <v>137680.25125641251</v>
      </c>
      <c r="AZ83" s="339">
        <f t="shared" ca="1" si="76"/>
        <v>138113.26241712068</v>
      </c>
      <c r="BA83" s="339">
        <f t="shared" ca="1" si="76"/>
        <v>137888.24252171183</v>
      </c>
      <c r="BB83" s="339">
        <f t="shared" ca="1" si="76"/>
        <v>141319.00263540409</v>
      </c>
      <c r="BC83" s="339">
        <f t="shared" ca="1" si="76"/>
        <v>141765.1344672929</v>
      </c>
      <c r="BD83" s="339">
        <f t="shared" ca="1" si="76"/>
        <v>142215.72761750064</v>
      </c>
      <c r="BE83" s="339">
        <f t="shared" ca="1" si="76"/>
        <v>141998.53011397042</v>
      </c>
      <c r="BF83" s="339">
        <f t="shared" ca="1" si="76"/>
        <v>145492.06129658097</v>
      </c>
      <c r="BG83" s="339">
        <f t="shared" ca="1" si="76"/>
        <v>145956.30786983311</v>
      </c>
      <c r="BH83" s="339">
        <f t="shared" ca="1" si="76"/>
        <v>146425.19690881774</v>
      </c>
      <c r="BI83" s="339">
        <f t="shared" ca="1" si="76"/>
        <v>146216.39380417368</v>
      </c>
      <c r="BJ83" s="339">
        <f t="shared" ca="1" si="76"/>
        <v>149774.09683957684</v>
      </c>
      <c r="BK83" s="339">
        <f t="shared" ca="1" si="76"/>
        <v>150257.19368533179</v>
      </c>
      <c r="BL83" s="339">
        <f t="shared" ca="1" si="76"/>
        <v>150745.12149954424</v>
      </c>
      <c r="BM83" s="339">
        <f t="shared" ca="1" si="76"/>
        <v>148112.34842526296</v>
      </c>
      <c r="BN83" s="339">
        <f t="shared" ca="1" si="76"/>
        <v>151735.66375517705</v>
      </c>
      <c r="BO83" s="339">
        <f t="shared" ca="1" si="76"/>
        <v>152238.37627008802</v>
      </c>
      <c r="BP83" s="339">
        <f t="shared" ca="1" si="76"/>
        <v>152746.11591014807</v>
      </c>
      <c r="BQ83" s="339">
        <f t="shared" ca="1" si="76"/>
        <v>150086.46907747324</v>
      </c>
      <c r="BR83" s="339">
        <f t="shared" ca="1" si="76"/>
        <v>153776.87815343399</v>
      </c>
      <c r="BS83" s="339">
        <f t="shared" ca="1" si="76"/>
        <v>154300.0028123275</v>
      </c>
      <c r="BT83" s="339">
        <f t="shared" ca="1" si="76"/>
        <v>154828.35871780996</v>
      </c>
    </row>
    <row r="84" spans="2:72" s="339" customFormat="1" x14ac:dyDescent="0.25">
      <c r="B84" s="340" t="s">
        <v>218</v>
      </c>
      <c r="C84" s="341"/>
      <c r="D84" s="334"/>
      <c r="E84" s="339">
        <f ca="1">E83</f>
        <v>-33565.243407707909</v>
      </c>
      <c r="F84" s="339">
        <f t="shared" ref="F84:AK84" ca="1" si="77">E84+F83</f>
        <v>-60344.208291075047</v>
      </c>
      <c r="G84" s="339">
        <f t="shared" ca="1" si="77"/>
        <v>-87123.173174442185</v>
      </c>
      <c r="H84" s="339">
        <f t="shared" ca="1" si="77"/>
        <v>-113902.13805780932</v>
      </c>
      <c r="I84" s="339">
        <f t="shared" ca="1" si="77"/>
        <v>-143218.60294117645</v>
      </c>
      <c r="J84" s="339">
        <f t="shared" ca="1" si="77"/>
        <v>-169997.56782454357</v>
      </c>
      <c r="K84" s="339">
        <f t="shared" ca="1" si="77"/>
        <v>-196776.53270791069</v>
      </c>
      <c r="L84" s="339">
        <f t="shared" ca="1" si="77"/>
        <v>-223555.49759127782</v>
      </c>
      <c r="M84" s="339">
        <f t="shared" ca="1" si="77"/>
        <v>-121536.30349898573</v>
      </c>
      <c r="N84" s="339">
        <f t="shared" ca="1" si="77"/>
        <v>-16644.867852006821</v>
      </c>
      <c r="O84" s="339">
        <f t="shared" ca="1" si="77"/>
        <v>88546.213640205766</v>
      </c>
      <c r="P84" s="339">
        <f t="shared" ca="1" si="77"/>
        <v>194039.93743610437</v>
      </c>
      <c r="Q84" s="339">
        <f t="shared" ca="1" si="77"/>
        <v>299260.03402122587</v>
      </c>
      <c r="R84" s="339">
        <f t="shared" ca="1" si="77"/>
        <v>407403.05195783742</v>
      </c>
      <c r="S84" s="339">
        <f t="shared" ca="1" si="77"/>
        <v>515857.88256257901</v>
      </c>
      <c r="T84" s="339">
        <f t="shared" ca="1" si="77"/>
        <v>624627.64396213193</v>
      </c>
      <c r="U84" s="339">
        <f t="shared" ca="1" si="77"/>
        <v>733127.50008788169</v>
      </c>
      <c r="V84" s="339">
        <f t="shared" ca="1" si="77"/>
        <v>844602.02599398093</v>
      </c>
      <c r="W84" s="339">
        <f t="shared" ca="1" si="77"/>
        <v>956401.02541290515</v>
      </c>
      <c r="X84" s="339">
        <f t="shared" ca="1" si="77"/>
        <v>1068527.7430797825</v>
      </c>
      <c r="Y84" s="339">
        <f t="shared" ca="1" si="77"/>
        <v>1180388.6510198815</v>
      </c>
      <c r="Z84" s="339">
        <f t="shared" ca="1" si="77"/>
        <v>1295277.0743544283</v>
      </c>
      <c r="AA84" s="339">
        <f t="shared" ca="1" si="77"/>
        <v>1410503.1461275597</v>
      </c>
      <c r="AB84" s="339">
        <f t="shared" ca="1" si="77"/>
        <v>1526070.2428236613</v>
      </c>
      <c r="AC84" s="339">
        <f t="shared" ca="1" si="77"/>
        <v>1641376.0174573937</v>
      </c>
      <c r="AD84" s="339">
        <f t="shared" ca="1" si="77"/>
        <v>1759763.2797749045</v>
      </c>
      <c r="AE84" s="339">
        <f t="shared" ca="1" si="77"/>
        <v>1878501.9004115765</v>
      </c>
      <c r="AF84" s="339">
        <f t="shared" ca="1" si="77"/>
        <v>1997595.3929506012</v>
      </c>
      <c r="AG84" s="339">
        <f t="shared" ca="1" si="77"/>
        <v>2116432.4625179144</v>
      </c>
      <c r="AH84" s="339">
        <f t="shared" ca="1" si="77"/>
        <v>2238406.1491950722</v>
      </c>
      <c r="AI84" s="339">
        <f t="shared" ca="1" si="77"/>
        <v>2360745.460748096</v>
      </c>
      <c r="AJ84" s="339">
        <f t="shared" ca="1" si="77"/>
        <v>2483454.0534257442</v>
      </c>
      <c r="AK84" s="339">
        <f t="shared" ca="1" si="77"/>
        <v>2605911.5537922792</v>
      </c>
      <c r="AL84" s="339">
        <f t="shared" ref="AL84:BL84" ca="1" si="78">AK84+AL83</f>
        <v>2731561.9893005323</v>
      </c>
      <c r="AM84" s="339">
        <f t="shared" ca="1" si="78"/>
        <v>2857592.8955207672</v>
      </c>
      <c r="AN84" s="339">
        <f t="shared" ca="1" si="78"/>
        <v>2984008.0771601037</v>
      </c>
      <c r="AO84" s="339">
        <f t="shared" ca="1" si="78"/>
        <v>3110177.9497320442</v>
      </c>
      <c r="AP84" s="339">
        <f t="shared" ca="1" si="78"/>
        <v>3239598.2965974957</v>
      </c>
      <c r="AQ84" s="339">
        <f t="shared" ca="1" si="78"/>
        <v>3369414.5628115232</v>
      </c>
      <c r="AR84" s="339">
        <f t="shared" ca="1" si="78"/>
        <v>3499630.7075676122</v>
      </c>
      <c r="AS84" s="339">
        <f t="shared" ca="1" si="78"/>
        <v>3629607.8010018845</v>
      </c>
      <c r="AT84" s="339">
        <f t="shared" ca="1" si="78"/>
        <v>3762894.1625994765</v>
      </c>
      <c r="AU84" s="339">
        <f t="shared" ca="1" si="78"/>
        <v>3896592.5194588332</v>
      </c>
      <c r="AV84" s="339">
        <f t="shared" ca="1" si="78"/>
        <v>4030706.9915325721</v>
      </c>
      <c r="AW84" s="339">
        <f t="shared" ca="1" si="78"/>
        <v>4164589.1673937985</v>
      </c>
      <c r="AX84" s="339">
        <f t="shared" ca="1" si="78"/>
        <v>4301840.6947287181</v>
      </c>
      <c r="AY84" s="339">
        <f t="shared" ca="1" si="78"/>
        <v>4439520.945985131</v>
      </c>
      <c r="AZ84" s="339">
        <f t="shared" ca="1" si="78"/>
        <v>4577634.2084022518</v>
      </c>
      <c r="BA84" s="339">
        <f t="shared" ca="1" si="78"/>
        <v>4715522.4509239634</v>
      </c>
      <c r="BB84" s="339">
        <f t="shared" ca="1" si="78"/>
        <v>4856841.4535593679</v>
      </c>
      <c r="BC84" s="339">
        <f t="shared" ca="1" si="78"/>
        <v>4998606.5880266605</v>
      </c>
      <c r="BD84" s="339">
        <f t="shared" ca="1" si="78"/>
        <v>5140822.3156441608</v>
      </c>
      <c r="BE84" s="339">
        <f t="shared" ca="1" si="78"/>
        <v>5282820.8457581317</v>
      </c>
      <c r="BF84" s="339">
        <f t="shared" ca="1" si="78"/>
        <v>5428312.907054713</v>
      </c>
      <c r="BG84" s="339">
        <f t="shared" ca="1" si="78"/>
        <v>5574269.214924546</v>
      </c>
      <c r="BH84" s="339">
        <f t="shared" ca="1" si="78"/>
        <v>5720694.4118333636</v>
      </c>
      <c r="BI84" s="339">
        <f t="shared" ca="1" si="78"/>
        <v>5866910.8056375375</v>
      </c>
      <c r="BJ84" s="339">
        <f t="shared" ca="1" si="78"/>
        <v>6016684.9024771145</v>
      </c>
      <c r="BK84" s="339">
        <f t="shared" ca="1" si="78"/>
        <v>6166942.0961624458</v>
      </c>
      <c r="BL84" s="339">
        <f t="shared" ca="1" si="78"/>
        <v>6317687.2176619899</v>
      </c>
      <c r="BM84" s="339">
        <f t="shared" ref="BM84" ca="1" si="79">BL84+BM83</f>
        <v>6465799.5660872525</v>
      </c>
      <c r="BN84" s="339">
        <f t="shared" ref="BN84" ca="1" si="80">BM84+BN83</f>
        <v>6617535.22984243</v>
      </c>
      <c r="BO84" s="339">
        <f t="shared" ref="BO84" ca="1" si="81">BN84+BO83</f>
        <v>6769773.6061125183</v>
      </c>
      <c r="BP84" s="339">
        <f t="shared" ref="BP84" ca="1" si="82">BO84+BP83</f>
        <v>6922519.7220226666</v>
      </c>
      <c r="BQ84" s="339">
        <f t="shared" ref="BQ84" ca="1" si="83">BP84+BQ83</f>
        <v>7072606.1911001401</v>
      </c>
      <c r="BR84" s="339">
        <f t="shared" ref="BR84" ca="1" si="84">BQ84+BR83</f>
        <v>7226383.0692535741</v>
      </c>
      <c r="BS84" s="339">
        <f t="shared" ref="BS84" ca="1" si="85">BR84+BS83</f>
        <v>7380683.0720659019</v>
      </c>
      <c r="BT84" s="339">
        <f t="shared" ref="BT84" ca="1" si="86">BS84+BT83</f>
        <v>7535511.4307837123</v>
      </c>
    </row>
    <row r="85" spans="2:72" x14ac:dyDescent="0.25">
      <c r="E85" s="357"/>
      <c r="F85" s="357"/>
      <c r="G85" s="357"/>
      <c r="H85" s="357"/>
      <c r="I85" s="357"/>
      <c r="J85" s="357"/>
      <c r="K85" s="357"/>
      <c r="L85" s="357"/>
      <c r="M85" s="357"/>
      <c r="N85" s="25"/>
      <c r="O85" s="25"/>
      <c r="AO85" s="357"/>
      <c r="AP85" s="357"/>
      <c r="AQ85" s="357"/>
      <c r="AR85" s="357"/>
      <c r="AS85" s="357"/>
      <c r="AT85" s="357"/>
      <c r="AU85" s="357"/>
      <c r="AV85" s="357"/>
      <c r="AW85" s="357"/>
      <c r="AX85" s="25"/>
      <c r="AY85" s="25"/>
    </row>
    <row r="86" spans="2:72" x14ac:dyDescent="0.25">
      <c r="E86" s="366"/>
      <c r="F86" s="366"/>
      <c r="G86" s="366"/>
      <c r="H86" s="366"/>
      <c r="I86" s="357"/>
      <c r="J86" s="357"/>
      <c r="K86" s="357"/>
      <c r="L86" s="357"/>
      <c r="M86" s="357"/>
      <c r="N86" s="25"/>
      <c r="O86" s="25"/>
      <c r="AO86" s="366">
        <f ca="1">-AO83+AO46</f>
        <v>40240.273668552385</v>
      </c>
      <c r="AP86" s="366">
        <f ca="1">-AP83+AP46</f>
        <v>36989.799375041184</v>
      </c>
      <c r="AQ86" s="366">
        <f ca="1">-AQ83+AQ46</f>
        <v>36593.88002646534</v>
      </c>
      <c r="AR86" s="366">
        <f ca="1">-AR83+AR46</f>
        <v>77316.869585523746</v>
      </c>
      <c r="AS86" s="357"/>
      <c r="AT86" s="357"/>
      <c r="AU86" s="357"/>
      <c r="AV86" s="357"/>
      <c r="AW86" s="357"/>
      <c r="AX86" s="25"/>
      <c r="AY86" s="25"/>
    </row>
    <row r="87" spans="2:72" x14ac:dyDescent="0.25">
      <c r="E87" s="502"/>
      <c r="F87" s="502"/>
      <c r="G87" s="357"/>
      <c r="H87" s="357"/>
      <c r="I87" s="357"/>
      <c r="J87" s="357"/>
      <c r="K87" s="357"/>
      <c r="L87" s="357"/>
      <c r="M87" s="357"/>
      <c r="N87" s="25"/>
      <c r="O87" s="25"/>
      <c r="AO87" s="357"/>
      <c r="AP87" s="357"/>
      <c r="AQ87" s="357"/>
      <c r="AR87" s="357"/>
      <c r="AS87" s="357"/>
      <c r="AT87" s="357"/>
      <c r="AU87" s="357"/>
      <c r="AV87" s="357"/>
      <c r="AW87" s="357"/>
      <c r="AX87" s="25"/>
      <c r="AY87" s="25"/>
    </row>
    <row r="88" spans="2:72" x14ac:dyDescent="0.25">
      <c r="E88" s="357"/>
      <c r="F88" s="357"/>
      <c r="G88" s="357"/>
      <c r="H88" s="357"/>
      <c r="I88" s="357"/>
      <c r="J88" s="357"/>
      <c r="K88" s="357"/>
      <c r="L88" s="357"/>
      <c r="M88" s="357"/>
      <c r="N88" s="25"/>
      <c r="O88" s="25"/>
      <c r="AO88" s="382"/>
      <c r="AP88" s="382"/>
      <c r="AQ88" s="382"/>
      <c r="AR88" s="382"/>
      <c r="AS88" s="382"/>
      <c r="AT88" s="382"/>
      <c r="AU88" s="382"/>
      <c r="AV88" s="382"/>
      <c r="AW88" s="382"/>
      <c r="AX88" s="382"/>
      <c r="AY88" s="382"/>
      <c r="AZ88" s="382"/>
      <c r="BA88" s="382"/>
      <c r="BB88" s="382"/>
      <c r="BC88" s="382"/>
      <c r="BD88" s="382"/>
      <c r="BE88" s="382"/>
      <c r="BF88" s="382"/>
      <c r="BG88" s="382"/>
      <c r="BH88" s="382"/>
      <c r="BI88" s="382"/>
      <c r="BJ88" s="382"/>
      <c r="BK88" s="382"/>
      <c r="BL88" s="382"/>
    </row>
  </sheetData>
  <mergeCells count="60">
    <mergeCell ref="BM12:BP12"/>
    <mergeCell ref="BQ12:BT12"/>
    <mergeCell ref="BM13:BP13"/>
    <mergeCell ref="BQ13:BT13"/>
    <mergeCell ref="BI11:BT11"/>
    <mergeCell ref="B57:D57"/>
    <mergeCell ref="B58:D58"/>
    <mergeCell ref="B81:D81"/>
    <mergeCell ref="E87:F87"/>
    <mergeCell ref="B59:D59"/>
    <mergeCell ref="B69:D69"/>
    <mergeCell ref="B71:D71"/>
    <mergeCell ref="B75:D75"/>
    <mergeCell ref="B77:D77"/>
    <mergeCell ref="B42:D42"/>
    <mergeCell ref="B43:D43"/>
    <mergeCell ref="B44:D44"/>
    <mergeCell ref="B47:D47"/>
    <mergeCell ref="D49:AN49"/>
    <mergeCell ref="BA13:BD13"/>
    <mergeCell ref="BE13:BH13"/>
    <mergeCell ref="BI13:BL13"/>
    <mergeCell ref="A18:A26"/>
    <mergeCell ref="D34:AN34"/>
    <mergeCell ref="AW12:AZ12"/>
    <mergeCell ref="BA12:BD12"/>
    <mergeCell ref="BE12:BH12"/>
    <mergeCell ref="BI12:BL12"/>
    <mergeCell ref="E13:H13"/>
    <mergeCell ref="I13:L13"/>
    <mergeCell ref="M13:P13"/>
    <mergeCell ref="Q13:T13"/>
    <mergeCell ref="U13:X13"/>
    <mergeCell ref="Y13:AB13"/>
    <mergeCell ref="AC13:AF13"/>
    <mergeCell ref="AG13:AJ13"/>
    <mergeCell ref="AK13:AN13"/>
    <mergeCell ref="AO13:AR13"/>
    <mergeCell ref="AS13:AV13"/>
    <mergeCell ref="AW13:AZ13"/>
    <mergeCell ref="J2:K2"/>
    <mergeCell ref="L2:M2"/>
    <mergeCell ref="J7:K7"/>
    <mergeCell ref="I12:L12"/>
    <mergeCell ref="M12:P12"/>
    <mergeCell ref="E11:L11"/>
    <mergeCell ref="B79:D79"/>
    <mergeCell ref="E12:H12"/>
    <mergeCell ref="M11:X11"/>
    <mergeCell ref="Y11:AJ11"/>
    <mergeCell ref="AK11:AV11"/>
    <mergeCell ref="AW11:BH11"/>
    <mergeCell ref="Q12:T12"/>
    <mergeCell ref="U12:X12"/>
    <mergeCell ref="Y12:AB12"/>
    <mergeCell ref="AC12:AF12"/>
    <mergeCell ref="AG12:AJ12"/>
    <mergeCell ref="AK12:AN12"/>
    <mergeCell ref="AO12:AR12"/>
    <mergeCell ref="AS12:AV12"/>
  </mergeCells>
  <hyperlinks>
    <hyperlink ref="A1" location="MENU!A1" display="MENU!A1" xr:uid="{00000000-0004-0000-0200-000000000000}"/>
  </hyperlinks>
  <pageMargins left="0.70833333333333304" right="0.70833333333333304" top="0.74861111111111101" bottom="0.74861111111111101" header="0.31527777777777799" footer="0.31527777777777799"/>
  <pageSetup paperSize="9" orientation="landscape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79C2-FFF0-4870-B789-02093D1E8DF4}">
  <dimension ref="A1:BX32"/>
  <sheetViews>
    <sheetView showGridLines="0" topLeftCell="F1" workbookViewId="0">
      <selection activeCell="AB20" sqref="AB20"/>
    </sheetView>
  </sheetViews>
  <sheetFormatPr baseColWidth="10" defaultColWidth="11.42578125" defaultRowHeight="15" x14ac:dyDescent="0.25"/>
  <cols>
    <col min="1" max="1" width="41" style="434" customWidth="1"/>
    <col min="2" max="2" width="13.42578125" style="434" customWidth="1"/>
    <col min="3" max="3" width="27" style="434" customWidth="1"/>
    <col min="4" max="6" width="11.42578125" style="434"/>
    <col min="7" max="7" width="12" style="434" bestFit="1" customWidth="1"/>
    <col min="8" max="14" width="11.42578125" style="434"/>
    <col min="15" max="15" width="12" style="434" bestFit="1" customWidth="1"/>
    <col min="16" max="16384" width="11.42578125" style="434"/>
  </cols>
  <sheetData>
    <row r="1" spans="1:76" ht="29.25" thickBot="1" x14ac:dyDescent="0.5">
      <c r="A1" s="431" t="s">
        <v>318</v>
      </c>
      <c r="B1" s="432"/>
      <c r="C1" s="432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</row>
    <row r="2" spans="1:76" ht="15.75" customHeight="1" thickBot="1" x14ac:dyDescent="0.3">
      <c r="A2" s="435" t="s">
        <v>220</v>
      </c>
      <c r="B2" s="436"/>
      <c r="C2" s="435"/>
      <c r="D2" s="504" t="s">
        <v>221</v>
      </c>
      <c r="E2" s="505"/>
      <c r="F2" s="505"/>
      <c r="G2" s="506"/>
      <c r="H2" s="504" t="s">
        <v>222</v>
      </c>
      <c r="I2" s="505"/>
      <c r="J2" s="505"/>
      <c r="K2" s="506"/>
      <c r="L2" s="504" t="s">
        <v>223</v>
      </c>
      <c r="M2" s="505"/>
      <c r="N2" s="505"/>
      <c r="O2" s="506"/>
      <c r="P2" s="504" t="s">
        <v>224</v>
      </c>
      <c r="Q2" s="505"/>
      <c r="R2" s="505"/>
      <c r="S2" s="506"/>
      <c r="T2" s="504" t="s">
        <v>225</v>
      </c>
      <c r="U2" s="505"/>
      <c r="V2" s="505"/>
      <c r="W2" s="506"/>
      <c r="X2" s="504" t="s">
        <v>226</v>
      </c>
      <c r="Y2" s="505"/>
      <c r="Z2" s="505"/>
      <c r="AA2" s="506"/>
      <c r="AB2" s="504" t="s">
        <v>227</v>
      </c>
      <c r="AC2" s="505"/>
      <c r="AD2" s="505"/>
      <c r="AE2" s="506"/>
      <c r="AF2" s="504" t="s">
        <v>228</v>
      </c>
      <c r="AG2" s="505"/>
      <c r="AH2" s="505"/>
      <c r="AI2" s="506"/>
      <c r="AJ2" s="504" t="s">
        <v>229</v>
      </c>
      <c r="AK2" s="505"/>
      <c r="AL2" s="505"/>
      <c r="AM2" s="506"/>
      <c r="AN2" s="504" t="s">
        <v>230</v>
      </c>
      <c r="AO2" s="505"/>
      <c r="AP2" s="505"/>
      <c r="AQ2" s="506"/>
      <c r="AR2" s="504" t="s">
        <v>231</v>
      </c>
      <c r="AS2" s="505"/>
      <c r="AT2" s="505"/>
      <c r="AU2" s="506"/>
      <c r="AV2" s="504" t="s">
        <v>232</v>
      </c>
      <c r="AW2" s="505"/>
      <c r="AX2" s="505"/>
      <c r="AY2" s="506"/>
      <c r="AZ2" s="504" t="s">
        <v>319</v>
      </c>
      <c r="BA2" s="505"/>
      <c r="BB2" s="505"/>
      <c r="BC2" s="506"/>
      <c r="BD2" s="504" t="s">
        <v>320</v>
      </c>
      <c r="BE2" s="505"/>
      <c r="BF2" s="505"/>
      <c r="BG2" s="506"/>
      <c r="BH2" s="504" t="s">
        <v>321</v>
      </c>
      <c r="BI2" s="505"/>
      <c r="BJ2" s="505"/>
      <c r="BK2" s="506"/>
      <c r="BL2" s="504" t="s">
        <v>322</v>
      </c>
      <c r="BM2" s="505"/>
      <c r="BN2" s="505"/>
      <c r="BO2" s="506"/>
      <c r="BP2" s="504" t="s">
        <v>323</v>
      </c>
      <c r="BQ2" s="505"/>
      <c r="BR2" s="505"/>
      <c r="BS2" s="506"/>
      <c r="BT2" s="504" t="s">
        <v>324</v>
      </c>
      <c r="BU2" s="505"/>
      <c r="BV2" s="505"/>
      <c r="BW2" s="506"/>
    </row>
    <row r="3" spans="1:76" ht="15.75" customHeight="1" x14ac:dyDescent="0.25">
      <c r="A3" s="437" t="s">
        <v>233</v>
      </c>
      <c r="B3" s="438" t="s">
        <v>325</v>
      </c>
      <c r="C3" s="437" t="s">
        <v>234</v>
      </c>
      <c r="D3" s="439">
        <f>B4</f>
        <v>46388</v>
      </c>
      <c r="E3" s="439">
        <f>EDATE(D3,12/$B$7)</f>
        <v>46478</v>
      </c>
      <c r="F3" s="439">
        <f t="shared" ref="F3:W3" si="0">EDATE(E3,12/$B$7)</f>
        <v>46569</v>
      </c>
      <c r="G3" s="439">
        <f t="shared" si="0"/>
        <v>46661</v>
      </c>
      <c r="H3" s="439">
        <f t="shared" si="0"/>
        <v>46753</v>
      </c>
      <c r="I3" s="439">
        <f t="shared" si="0"/>
        <v>46844</v>
      </c>
      <c r="J3" s="439">
        <f t="shared" si="0"/>
        <v>46935</v>
      </c>
      <c r="K3" s="439">
        <f t="shared" si="0"/>
        <v>47027</v>
      </c>
      <c r="L3" s="439">
        <f>EDATE(K3,12/$B$7)</f>
        <v>47119</v>
      </c>
      <c r="M3" s="439">
        <f t="shared" si="0"/>
        <v>47209</v>
      </c>
      <c r="N3" s="439">
        <f t="shared" si="0"/>
        <v>47300</v>
      </c>
      <c r="O3" s="439">
        <f t="shared" si="0"/>
        <v>47392</v>
      </c>
      <c r="P3" s="439">
        <f t="shared" si="0"/>
        <v>47484</v>
      </c>
      <c r="Q3" s="439">
        <f t="shared" si="0"/>
        <v>47574</v>
      </c>
      <c r="R3" s="439">
        <f t="shared" si="0"/>
        <v>47665</v>
      </c>
      <c r="S3" s="439">
        <f t="shared" si="0"/>
        <v>47757</v>
      </c>
      <c r="T3" s="439">
        <f t="shared" si="0"/>
        <v>47849</v>
      </c>
      <c r="U3" s="439">
        <f t="shared" si="0"/>
        <v>47939</v>
      </c>
      <c r="V3" s="439">
        <f t="shared" si="0"/>
        <v>48030</v>
      </c>
      <c r="W3" s="439">
        <f t="shared" si="0"/>
        <v>48122</v>
      </c>
      <c r="X3" s="439">
        <f t="shared" ref="X3" si="1">EDATE(W3,12/$B$7)</f>
        <v>48214</v>
      </c>
      <c r="Y3" s="439">
        <f t="shared" ref="Y3" si="2">EDATE(X3,12/$B$7)</f>
        <v>48305</v>
      </c>
      <c r="Z3" s="439">
        <f t="shared" ref="Z3" si="3">EDATE(Y3,12/$B$7)</f>
        <v>48396</v>
      </c>
      <c r="AA3" s="439">
        <f t="shared" ref="AA3" si="4">EDATE(Z3,12/$B$7)</f>
        <v>48488</v>
      </c>
      <c r="AB3" s="439">
        <f t="shared" ref="AB3" si="5">EDATE(AA3,12/$B$7)</f>
        <v>48580</v>
      </c>
      <c r="AC3" s="439">
        <f t="shared" ref="AC3" si="6">EDATE(AB3,12/$B$7)</f>
        <v>48670</v>
      </c>
      <c r="AD3" s="439">
        <f t="shared" ref="AD3" si="7">EDATE(AC3,12/$B$7)</f>
        <v>48761</v>
      </c>
      <c r="AE3" s="439">
        <f t="shared" ref="AE3" si="8">EDATE(AD3,12/$B$7)</f>
        <v>48853</v>
      </c>
      <c r="AF3" s="439">
        <f t="shared" ref="AF3" si="9">EDATE(AE3,12/$B$7)</f>
        <v>48945</v>
      </c>
      <c r="AG3" s="439">
        <f t="shared" ref="AG3" si="10">EDATE(AF3,12/$B$7)</f>
        <v>49035</v>
      </c>
      <c r="AH3" s="439">
        <f t="shared" ref="AH3" si="11">EDATE(AG3,12/$B$7)</f>
        <v>49126</v>
      </c>
      <c r="AI3" s="439">
        <f t="shared" ref="AI3" si="12">EDATE(AH3,12/$B$7)</f>
        <v>49218</v>
      </c>
      <c r="AJ3" s="439">
        <f t="shared" ref="AJ3" si="13">EDATE(AI3,12/$B$7)</f>
        <v>49310</v>
      </c>
      <c r="AK3" s="439">
        <f t="shared" ref="AK3" si="14">EDATE(AJ3,12/$B$7)</f>
        <v>49400</v>
      </c>
      <c r="AL3" s="439">
        <f t="shared" ref="AL3" si="15">EDATE(AK3,12/$B$7)</f>
        <v>49491</v>
      </c>
      <c r="AM3" s="439">
        <f t="shared" ref="AM3" si="16">EDATE(AL3,12/$B$7)</f>
        <v>49583</v>
      </c>
      <c r="AN3" s="439">
        <f t="shared" ref="AN3" si="17">EDATE(AM3,12/$B$7)</f>
        <v>49675</v>
      </c>
      <c r="AO3" s="439">
        <f t="shared" ref="AO3" si="18">EDATE(AN3,12/$B$7)</f>
        <v>49766</v>
      </c>
      <c r="AP3" s="439">
        <f t="shared" ref="AP3" si="19">EDATE(AO3,12/$B$7)</f>
        <v>49857</v>
      </c>
      <c r="AQ3" s="439">
        <f t="shared" ref="AQ3" si="20">EDATE(AP3,12/$B$7)</f>
        <v>49949</v>
      </c>
      <c r="AR3" s="439">
        <f t="shared" ref="AR3" si="21">EDATE(AQ3,12/$B$7)</f>
        <v>50041</v>
      </c>
      <c r="AS3" s="439">
        <f t="shared" ref="AS3" si="22">EDATE(AR3,12/$B$7)</f>
        <v>50131</v>
      </c>
      <c r="AT3" s="439">
        <f t="shared" ref="AT3" si="23">EDATE(AS3,12/$B$7)</f>
        <v>50222</v>
      </c>
      <c r="AU3" s="439">
        <f t="shared" ref="AU3" si="24">EDATE(AT3,12/$B$7)</f>
        <v>50314</v>
      </c>
      <c r="AV3" s="439">
        <f t="shared" ref="AV3" si="25">EDATE(AU3,12/$B$7)</f>
        <v>50406</v>
      </c>
      <c r="AW3" s="439">
        <f t="shared" ref="AW3" si="26">EDATE(AV3,12/$B$7)</f>
        <v>50496</v>
      </c>
      <c r="AX3" s="439">
        <f t="shared" ref="AX3" si="27">EDATE(AW3,12/$B$7)</f>
        <v>50587</v>
      </c>
      <c r="AY3" s="439">
        <f t="shared" ref="AY3" si="28">EDATE(AX3,12/$B$7)</f>
        <v>50679</v>
      </c>
      <c r="AZ3" s="439">
        <f t="shared" ref="AZ3" si="29">EDATE(AY3,12/$B$7)</f>
        <v>50771</v>
      </c>
      <c r="BA3" s="439">
        <f t="shared" ref="BA3" si="30">EDATE(AZ3,12/$B$7)</f>
        <v>50861</v>
      </c>
      <c r="BB3" s="439">
        <f t="shared" ref="BB3" si="31">EDATE(BA3,12/$B$7)</f>
        <v>50952</v>
      </c>
      <c r="BC3" s="439">
        <f t="shared" ref="BC3" si="32">EDATE(BB3,12/$B$7)</f>
        <v>51044</v>
      </c>
      <c r="BD3" s="439">
        <f t="shared" ref="BD3" si="33">EDATE(BC3,12/$B$7)</f>
        <v>51136</v>
      </c>
      <c r="BE3" s="439">
        <f t="shared" ref="BE3" si="34">EDATE(BD3,12/$B$7)</f>
        <v>51227</v>
      </c>
      <c r="BF3" s="439">
        <f t="shared" ref="BF3" si="35">EDATE(BE3,12/$B$7)</f>
        <v>51318</v>
      </c>
      <c r="BG3" s="439">
        <f t="shared" ref="BG3" si="36">EDATE(BF3,12/$B$7)</f>
        <v>51410</v>
      </c>
      <c r="BH3" s="439">
        <f t="shared" ref="BH3" si="37">EDATE(BG3,12/$B$7)</f>
        <v>51502</v>
      </c>
      <c r="BI3" s="439">
        <f t="shared" ref="BI3" si="38">EDATE(BH3,12/$B$7)</f>
        <v>51592</v>
      </c>
      <c r="BJ3" s="439">
        <f t="shared" ref="BJ3" si="39">EDATE(BI3,12/$B$7)</f>
        <v>51683</v>
      </c>
      <c r="BK3" s="439">
        <f t="shared" ref="BK3" si="40">EDATE(BJ3,12/$B$7)</f>
        <v>51775</v>
      </c>
      <c r="BL3" s="439">
        <f t="shared" ref="BL3" si="41">EDATE(BK3,12/$B$7)</f>
        <v>51867</v>
      </c>
      <c r="BM3" s="439">
        <f t="shared" ref="BM3" si="42">EDATE(BL3,12/$B$7)</f>
        <v>51957</v>
      </c>
      <c r="BN3" s="439">
        <f t="shared" ref="BN3" si="43">EDATE(BM3,12/$B$7)</f>
        <v>52048</v>
      </c>
      <c r="BO3" s="439">
        <f t="shared" ref="BO3" si="44">EDATE(BN3,12/$B$7)</f>
        <v>52140</v>
      </c>
      <c r="BP3" s="439">
        <f t="shared" ref="BP3" si="45">EDATE(BO3,12/$B$7)</f>
        <v>52232</v>
      </c>
      <c r="BQ3" s="439">
        <f t="shared" ref="BQ3" si="46">EDATE(BP3,12/$B$7)</f>
        <v>52322</v>
      </c>
      <c r="BR3" s="439">
        <f t="shared" ref="BR3" si="47">EDATE(BQ3,12/$B$7)</f>
        <v>52413</v>
      </c>
      <c r="BS3" s="439">
        <f t="shared" ref="BS3" si="48">EDATE(BR3,12/$B$7)</f>
        <v>52505</v>
      </c>
      <c r="BT3" s="439">
        <f t="shared" ref="BT3" si="49">EDATE(BS3,12/$B$7)</f>
        <v>52597</v>
      </c>
      <c r="BU3" s="439">
        <f t="shared" ref="BU3" si="50">EDATE(BT3,12/$B$7)</f>
        <v>52688</v>
      </c>
      <c r="BV3" s="439">
        <f t="shared" ref="BV3" si="51">EDATE(BU3,12/$B$7)</f>
        <v>52779</v>
      </c>
      <c r="BW3" s="439">
        <f t="shared" ref="BW3" si="52">EDATE(BV3,12/$B$7)</f>
        <v>52871</v>
      </c>
    </row>
    <row r="4" spans="1:76" ht="15.75" customHeight="1" x14ac:dyDescent="0.25">
      <c r="A4" s="437" t="s">
        <v>235</v>
      </c>
      <c r="B4" s="440">
        <v>46388</v>
      </c>
      <c r="C4" s="437" t="s">
        <v>236</v>
      </c>
      <c r="D4" s="441">
        <v>1</v>
      </c>
      <c r="E4" s="441">
        <f t="shared" ref="E4:W4" si="53">D4+1</f>
        <v>2</v>
      </c>
      <c r="F4" s="441">
        <f t="shared" si="53"/>
        <v>3</v>
      </c>
      <c r="G4" s="441">
        <f t="shared" si="53"/>
        <v>4</v>
      </c>
      <c r="H4" s="441">
        <f t="shared" si="53"/>
        <v>5</v>
      </c>
      <c r="I4" s="441">
        <f t="shared" si="53"/>
        <v>6</v>
      </c>
      <c r="J4" s="441">
        <f t="shared" si="53"/>
        <v>7</v>
      </c>
      <c r="K4" s="441">
        <f t="shared" si="53"/>
        <v>8</v>
      </c>
      <c r="L4" s="441">
        <v>1</v>
      </c>
      <c r="M4" s="441">
        <v>2</v>
      </c>
      <c r="N4" s="441">
        <v>3</v>
      </c>
      <c r="O4" s="441">
        <v>4</v>
      </c>
      <c r="P4" s="441">
        <f t="shared" si="53"/>
        <v>5</v>
      </c>
      <c r="Q4" s="441">
        <f t="shared" si="53"/>
        <v>6</v>
      </c>
      <c r="R4" s="441">
        <f t="shared" si="53"/>
        <v>7</v>
      </c>
      <c r="S4" s="441">
        <f t="shared" si="53"/>
        <v>8</v>
      </c>
      <c r="T4" s="441">
        <f t="shared" si="53"/>
        <v>9</v>
      </c>
      <c r="U4" s="441">
        <f t="shared" si="53"/>
        <v>10</v>
      </c>
      <c r="V4" s="441">
        <f t="shared" si="53"/>
        <v>11</v>
      </c>
      <c r="W4" s="441">
        <f t="shared" si="53"/>
        <v>12</v>
      </c>
      <c r="X4" s="441">
        <f t="shared" ref="X4" si="54">W4+1</f>
        <v>13</v>
      </c>
      <c r="Y4" s="441">
        <f t="shared" ref="Y4" si="55">X4+1</f>
        <v>14</v>
      </c>
      <c r="Z4" s="441">
        <f t="shared" ref="Z4" si="56">Y4+1</f>
        <v>15</v>
      </c>
      <c r="AA4" s="441">
        <f t="shared" ref="AA4" si="57">Z4+1</f>
        <v>16</v>
      </c>
      <c r="AB4" s="441">
        <f t="shared" ref="AB4" si="58">AA4+1</f>
        <v>17</v>
      </c>
      <c r="AC4" s="441">
        <f t="shared" ref="AC4" si="59">AB4+1</f>
        <v>18</v>
      </c>
      <c r="AD4" s="441">
        <f t="shared" ref="AD4" si="60">AC4+1</f>
        <v>19</v>
      </c>
      <c r="AE4" s="441">
        <f t="shared" ref="AE4" si="61">AD4+1</f>
        <v>20</v>
      </c>
      <c r="AF4" s="441">
        <f t="shared" ref="AF4" si="62">AE4+1</f>
        <v>21</v>
      </c>
      <c r="AG4" s="441">
        <f t="shared" ref="AG4" si="63">AF4+1</f>
        <v>22</v>
      </c>
      <c r="AH4" s="441">
        <f t="shared" ref="AH4" si="64">AG4+1</f>
        <v>23</v>
      </c>
      <c r="AI4" s="441">
        <f t="shared" ref="AI4" si="65">AH4+1</f>
        <v>24</v>
      </c>
      <c r="AJ4" s="441">
        <f t="shared" ref="AJ4" si="66">AI4+1</f>
        <v>25</v>
      </c>
      <c r="AK4" s="441">
        <f t="shared" ref="AK4" si="67">AJ4+1</f>
        <v>26</v>
      </c>
      <c r="AL4" s="441">
        <f t="shared" ref="AL4" si="68">AK4+1</f>
        <v>27</v>
      </c>
      <c r="AM4" s="441">
        <f t="shared" ref="AM4" si="69">AL4+1</f>
        <v>28</v>
      </c>
      <c r="AN4" s="441">
        <f t="shared" ref="AN4" si="70">AM4+1</f>
        <v>29</v>
      </c>
      <c r="AO4" s="441">
        <f t="shared" ref="AO4" si="71">AN4+1</f>
        <v>30</v>
      </c>
      <c r="AP4" s="441">
        <f t="shared" ref="AP4" si="72">AO4+1</f>
        <v>31</v>
      </c>
      <c r="AQ4" s="441">
        <f t="shared" ref="AQ4" si="73">AP4+1</f>
        <v>32</v>
      </c>
      <c r="AR4" s="441">
        <f t="shared" ref="AR4" si="74">AQ4+1</f>
        <v>33</v>
      </c>
      <c r="AS4" s="441">
        <f t="shared" ref="AS4" si="75">AR4+1</f>
        <v>34</v>
      </c>
      <c r="AT4" s="441">
        <f t="shared" ref="AT4" si="76">AS4+1</f>
        <v>35</v>
      </c>
      <c r="AU4" s="441">
        <f t="shared" ref="AU4" si="77">AT4+1</f>
        <v>36</v>
      </c>
      <c r="AV4" s="441">
        <f t="shared" ref="AV4" si="78">AU4+1</f>
        <v>37</v>
      </c>
      <c r="AW4" s="441">
        <f t="shared" ref="AW4" si="79">AV4+1</f>
        <v>38</v>
      </c>
      <c r="AX4" s="441">
        <f t="shared" ref="AX4" si="80">AW4+1</f>
        <v>39</v>
      </c>
      <c r="AY4" s="441">
        <f t="shared" ref="AY4" si="81">AX4+1</f>
        <v>40</v>
      </c>
      <c r="AZ4" s="441">
        <f t="shared" ref="AZ4" si="82">AY4+1</f>
        <v>41</v>
      </c>
      <c r="BA4" s="441">
        <f t="shared" ref="BA4" si="83">AZ4+1</f>
        <v>42</v>
      </c>
      <c r="BB4" s="441">
        <f t="shared" ref="BB4" si="84">BA4+1</f>
        <v>43</v>
      </c>
      <c r="BC4" s="441">
        <f t="shared" ref="BC4" si="85">BB4+1</f>
        <v>44</v>
      </c>
      <c r="BD4" s="441">
        <f t="shared" ref="BD4" si="86">BC4+1</f>
        <v>45</v>
      </c>
      <c r="BE4" s="441">
        <f t="shared" ref="BE4" si="87">BD4+1</f>
        <v>46</v>
      </c>
      <c r="BF4" s="441">
        <f t="shared" ref="BF4" si="88">BE4+1</f>
        <v>47</v>
      </c>
      <c r="BG4" s="441">
        <f t="shared" ref="BG4" si="89">BF4+1</f>
        <v>48</v>
      </c>
      <c r="BH4" s="441">
        <f t="shared" ref="BH4" si="90">BG4+1</f>
        <v>49</v>
      </c>
      <c r="BI4" s="441">
        <f t="shared" ref="BI4" si="91">BH4+1</f>
        <v>50</v>
      </c>
      <c r="BJ4" s="441">
        <f t="shared" ref="BJ4" si="92">BI4+1</f>
        <v>51</v>
      </c>
      <c r="BK4" s="441">
        <f t="shared" ref="BK4" si="93">BJ4+1</f>
        <v>52</v>
      </c>
      <c r="BL4" s="441">
        <f t="shared" ref="BL4" si="94">BK4+1</f>
        <v>53</v>
      </c>
      <c r="BM4" s="441">
        <f t="shared" ref="BM4" si="95">BL4+1</f>
        <v>54</v>
      </c>
      <c r="BN4" s="441">
        <f t="shared" ref="BN4" si="96">BM4+1</f>
        <v>55</v>
      </c>
      <c r="BO4" s="441">
        <f t="shared" ref="BO4" si="97">BN4+1</f>
        <v>56</v>
      </c>
      <c r="BP4" s="441">
        <f t="shared" ref="BP4" si="98">BO4+1</f>
        <v>57</v>
      </c>
      <c r="BQ4" s="441">
        <f t="shared" ref="BQ4" si="99">BP4+1</f>
        <v>58</v>
      </c>
      <c r="BR4" s="441">
        <f t="shared" ref="BR4" si="100">BQ4+1</f>
        <v>59</v>
      </c>
      <c r="BS4" s="441">
        <f t="shared" ref="BS4" si="101">BR4+1</f>
        <v>60</v>
      </c>
      <c r="BT4" s="441">
        <f t="shared" ref="BT4" si="102">BS4+1</f>
        <v>61</v>
      </c>
      <c r="BU4" s="441">
        <f t="shared" ref="BU4" si="103">BT4+1</f>
        <v>62</v>
      </c>
      <c r="BV4" s="441">
        <f t="shared" ref="BV4" si="104">BU4+1</f>
        <v>63</v>
      </c>
      <c r="BW4" s="441">
        <f t="shared" ref="BW4" si="105">BV4+1</f>
        <v>64</v>
      </c>
    </row>
    <row r="5" spans="1:76" x14ac:dyDescent="0.25">
      <c r="A5" s="437" t="s">
        <v>333</v>
      </c>
      <c r="B5" s="438">
        <v>18</v>
      </c>
      <c r="C5" s="437" t="s">
        <v>237</v>
      </c>
      <c r="D5" s="442">
        <f ca="1">B6</f>
        <v>3106524.3407707913</v>
      </c>
      <c r="E5" s="442">
        <f ca="1">D7</f>
        <v>3106524.3407707913</v>
      </c>
      <c r="F5" s="442">
        <f t="shared" ref="F5:K5" ca="1" si="106">E7</f>
        <v>3106524.3407707913</v>
      </c>
      <c r="G5" s="442">
        <f t="shared" ca="1" si="106"/>
        <v>3106524.3407707913</v>
      </c>
      <c r="H5" s="442">
        <f t="shared" ca="1" si="106"/>
        <v>3106524.3407707913</v>
      </c>
      <c r="I5" s="442">
        <f t="shared" ca="1" si="106"/>
        <v>3106524.3407707913</v>
      </c>
      <c r="J5" s="442">
        <f t="shared" ca="1" si="106"/>
        <v>3106524.3407707913</v>
      </c>
      <c r="K5" s="442">
        <f t="shared" ca="1" si="106"/>
        <v>3106524.3407707913</v>
      </c>
      <c r="L5" s="442">
        <f ca="1">K7</f>
        <v>3106524.3407707913</v>
      </c>
      <c r="M5" s="442">
        <f t="shared" ref="M5:BW5" ca="1" si="107">L7</f>
        <v>3076856.3971013399</v>
      </c>
      <c r="N5" s="442">
        <f t="shared" ca="1" si="107"/>
        <v>3046891.8125779717</v>
      </c>
      <c r="O5" s="442">
        <f t="shared" ca="1" si="107"/>
        <v>3016627.5822093701</v>
      </c>
      <c r="P5" s="442">
        <f t="shared" ca="1" si="107"/>
        <v>2986060.7095370824</v>
      </c>
      <c r="Q5" s="442">
        <f t="shared" ca="1" si="107"/>
        <v>2955188.1681380719</v>
      </c>
      <c r="R5" s="442">
        <f t="shared" ca="1" si="107"/>
        <v>2924006.9013250712</v>
      </c>
      <c r="S5" s="442">
        <f t="shared" ca="1" si="107"/>
        <v>2892513.8218439403</v>
      </c>
      <c r="T5" s="442">
        <f t="shared" ca="1" si="107"/>
        <v>2860705.811567998</v>
      </c>
      <c r="U5" s="442">
        <f t="shared" ca="1" si="107"/>
        <v>2828579.7211892963</v>
      </c>
      <c r="V5" s="442">
        <f t="shared" ca="1" si="107"/>
        <v>2796132.3699068078</v>
      </c>
      <c r="W5" s="442">
        <f t="shared" ca="1" si="107"/>
        <v>2763360.5451114941</v>
      </c>
      <c r="X5" s="442">
        <f t="shared" ca="1" si="107"/>
        <v>2730261.0020682276</v>
      </c>
      <c r="Y5" s="442">
        <f t="shared" ca="1" si="107"/>
        <v>2696830.4635945284</v>
      </c>
      <c r="Z5" s="442">
        <f t="shared" ca="1" si="107"/>
        <v>2663065.6197360922</v>
      </c>
      <c r="AA5" s="442">
        <f t="shared" ca="1" si="107"/>
        <v>2628963.1274390714</v>
      </c>
      <c r="AB5" s="442">
        <f t="shared" ca="1" si="107"/>
        <v>2594519.6102190805</v>
      </c>
      <c r="AC5" s="442">
        <f t="shared" ca="1" si="107"/>
        <v>2559731.6578268898</v>
      </c>
      <c r="AD5" s="442">
        <f t="shared" ca="1" si="107"/>
        <v>2524595.8259107773</v>
      </c>
      <c r="AE5" s="442">
        <f t="shared" ca="1" si="107"/>
        <v>2489108.6356755034</v>
      </c>
      <c r="AF5" s="442">
        <f t="shared" ca="1" si="107"/>
        <v>2453266.5735378768</v>
      </c>
      <c r="AG5" s="442">
        <f t="shared" ca="1" si="107"/>
        <v>2417066.0907788742</v>
      </c>
      <c r="AH5" s="442">
        <f t="shared" ca="1" si="107"/>
        <v>2380503.6031922814</v>
      </c>
      <c r="AI5" s="442">
        <f t="shared" ca="1" si="107"/>
        <v>2343575.4907298228</v>
      </c>
      <c r="AJ5" s="442">
        <f t="shared" ca="1" si="107"/>
        <v>2306278.0971427397</v>
      </c>
      <c r="AK5" s="442">
        <f t="shared" ca="1" si="107"/>
        <v>2268607.7296197857</v>
      </c>
      <c r="AL5" s="442">
        <f t="shared" ca="1" si="107"/>
        <v>2230560.6584216021</v>
      </c>
      <c r="AM5" s="442">
        <f t="shared" ca="1" si="107"/>
        <v>2192133.1165114366</v>
      </c>
      <c r="AN5" s="442">
        <f t="shared" ca="1" si="107"/>
        <v>2153321.2991821696</v>
      </c>
      <c r="AO5" s="442">
        <f t="shared" ca="1" si="107"/>
        <v>2114121.3636796097</v>
      </c>
      <c r="AP5" s="442">
        <f t="shared" ca="1" si="107"/>
        <v>2074529.4288220243</v>
      </c>
      <c r="AQ5" s="442">
        <f t="shared" ca="1" si="107"/>
        <v>2034541.5746158629</v>
      </c>
      <c r="AR5" s="442">
        <f t="shared" ca="1" si="107"/>
        <v>1994153.8418676401</v>
      </c>
      <c r="AS5" s="442">
        <f t="shared" ca="1" si="107"/>
        <v>1953362.2317919349</v>
      </c>
      <c r="AT5" s="442">
        <f t="shared" ca="1" si="107"/>
        <v>1912162.7056154727</v>
      </c>
      <c r="AU5" s="442">
        <f t="shared" ca="1" si="107"/>
        <v>1870551.1841772459</v>
      </c>
      <c r="AV5" s="442">
        <f t="shared" ca="1" si="107"/>
        <v>1828523.5475246368</v>
      </c>
      <c r="AW5" s="442">
        <f t="shared" ca="1" si="107"/>
        <v>1786075.6345055017</v>
      </c>
      <c r="AX5" s="442">
        <f t="shared" ca="1" si="107"/>
        <v>1743203.2423561753</v>
      </c>
      <c r="AY5" s="442">
        <f t="shared" ca="1" si="107"/>
        <v>1699902.1262853555</v>
      </c>
      <c r="AZ5" s="442">
        <f t="shared" ca="1" si="107"/>
        <v>1656167.9990538275</v>
      </c>
      <c r="BA5" s="442">
        <f t="shared" ca="1" si="107"/>
        <v>1611996.5305499842</v>
      </c>
      <c r="BB5" s="442">
        <f t="shared" ca="1" si="107"/>
        <v>1567383.3473611025</v>
      </c>
      <c r="BC5" s="442">
        <f t="shared" ca="1" si="107"/>
        <v>1522324.0323403319</v>
      </c>
      <c r="BD5" s="442">
        <f t="shared" ca="1" si="107"/>
        <v>1476814.1241693536</v>
      </c>
      <c r="BE5" s="442">
        <f t="shared" ca="1" si="107"/>
        <v>1430849.1169166656</v>
      </c>
      <c r="BF5" s="442">
        <f t="shared" ca="1" si="107"/>
        <v>1384424.4595914506</v>
      </c>
      <c r="BG5" s="442">
        <f t="shared" ca="1" si="107"/>
        <v>1337535.5556929836</v>
      </c>
      <c r="BH5" s="442">
        <f t="shared" ca="1" si="107"/>
        <v>1290177.7627555318</v>
      </c>
      <c r="BI5" s="442">
        <f t="shared" ca="1" si="107"/>
        <v>1242346.3918887055</v>
      </c>
      <c r="BJ5" s="442">
        <f t="shared" ca="1" si="107"/>
        <v>1194036.7073132112</v>
      </c>
      <c r="BK5" s="442">
        <f t="shared" ca="1" si="107"/>
        <v>1145243.9258919617</v>
      </c>
      <c r="BL5" s="442">
        <f t="shared" ca="1" si="107"/>
        <v>1095963.2166564998</v>
      </c>
      <c r="BM5" s="442">
        <f t="shared" ca="1" si="107"/>
        <v>1046189.7003286832</v>
      </c>
      <c r="BN5" s="442">
        <f t="shared" ca="1" si="107"/>
        <v>995918.44883758854</v>
      </c>
      <c r="BO5" s="442">
        <f t="shared" ca="1" si="107"/>
        <v>945144.48483158287</v>
      </c>
      <c r="BP5" s="442">
        <f t="shared" ca="1" si="107"/>
        <v>893862.7811855172</v>
      </c>
      <c r="BQ5" s="442">
        <f t="shared" ca="1" si="107"/>
        <v>842068.26050299092</v>
      </c>
      <c r="BR5" s="442">
        <f t="shared" ca="1" si="107"/>
        <v>789755.79461363936</v>
      </c>
      <c r="BS5" s="442">
        <f t="shared" ca="1" si="107"/>
        <v>736920.20406539424</v>
      </c>
      <c r="BT5" s="442">
        <f t="shared" ca="1" si="107"/>
        <v>683556.25761166669</v>
      </c>
      <c r="BU5" s="442">
        <f t="shared" ca="1" si="107"/>
        <v>629658.67169340188</v>
      </c>
      <c r="BV5" s="442">
        <f t="shared" ca="1" si="107"/>
        <v>575222.10991595441</v>
      </c>
      <c r="BW5" s="442">
        <f t="shared" ca="1" si="107"/>
        <v>520241.18252073246</v>
      </c>
    </row>
    <row r="6" spans="1:76" x14ac:dyDescent="0.25">
      <c r="A6" s="437" t="s">
        <v>238</v>
      </c>
      <c r="B6" s="443">
        <f ca="1">'Plan de financement_input immo '!D5</f>
        <v>3106524.3407707913</v>
      </c>
      <c r="C6" s="437" t="s">
        <v>239</v>
      </c>
      <c r="D6" s="442">
        <v>0</v>
      </c>
      <c r="E6" s="442">
        <v>0</v>
      </c>
      <c r="F6" s="442">
        <v>0</v>
      </c>
      <c r="G6" s="442">
        <v>0</v>
      </c>
      <c r="H6" s="442">
        <v>0</v>
      </c>
      <c r="I6" s="442">
        <v>0</v>
      </c>
      <c r="J6" s="442">
        <v>0</v>
      </c>
      <c r="K6" s="442">
        <v>0</v>
      </c>
      <c r="L6" s="448">
        <f ca="1">PPMT($B$8/$B$7,L4,$B$5*$B$7,$B$7,B6,$B$9)</f>
        <v>-29667.943669451313</v>
      </c>
      <c r="M6" s="448">
        <f ca="1">PPMT($B$8/$B$7,M4,$B$5*$B$7,$B$6,$B$11)</f>
        <v>-29964.58452336811</v>
      </c>
      <c r="N6" s="448">
        <f t="shared" ref="N6:BW6" ca="1" si="108">PPMT($B$8/$B$7,N4,$B$5*$B$7,$B$6,$B$11)</f>
        <v>-30264.230368601799</v>
      </c>
      <c r="O6" s="448">
        <f t="shared" ca="1" si="108"/>
        <v>-30566.872672287813</v>
      </c>
      <c r="P6" s="448">
        <f t="shared" ca="1" si="108"/>
        <v>-30872.541399010686</v>
      </c>
      <c r="Q6" s="448">
        <f t="shared" ca="1" si="108"/>
        <v>-31181.266813000795</v>
      </c>
      <c r="R6" s="448">
        <f t="shared" ca="1" si="108"/>
        <v>-31493.079481130801</v>
      </c>
      <c r="S6" s="448">
        <f t="shared" ca="1" si="108"/>
        <v>-31808.01027594211</v>
      </c>
      <c r="T6" s="448">
        <f t="shared" ca="1" si="108"/>
        <v>-32126.090378701534</v>
      </c>
      <c r="U6" s="448">
        <f t="shared" ca="1" si="108"/>
        <v>-32447.351282488551</v>
      </c>
      <c r="V6" s="448">
        <f t="shared" ca="1" si="108"/>
        <v>-32771.824795313434</v>
      </c>
      <c r="W6" s="448">
        <f t="shared" ca="1" si="108"/>
        <v>-33099.543043266574</v>
      </c>
      <c r="X6" s="448">
        <f t="shared" ca="1" si="108"/>
        <v>-33430.538473699235</v>
      </c>
      <c r="Y6" s="448">
        <f t="shared" ca="1" si="108"/>
        <v>-33764.84385843623</v>
      </c>
      <c r="Z6" s="448">
        <f t="shared" ca="1" si="108"/>
        <v>-34102.492297020588</v>
      </c>
      <c r="AA6" s="448">
        <f t="shared" ca="1" si="108"/>
        <v>-34443.517219990797</v>
      </c>
      <c r="AB6" s="448">
        <f t="shared" ca="1" si="108"/>
        <v>-34787.952392190702</v>
      </c>
      <c r="AC6" s="448">
        <f t="shared" ca="1" si="108"/>
        <v>-35135.831916112613</v>
      </c>
      <c r="AD6" s="448">
        <f t="shared" ca="1" si="108"/>
        <v>-35487.190235273738</v>
      </c>
      <c r="AE6" s="448">
        <f t="shared" ca="1" si="108"/>
        <v>-35842.062137626475</v>
      </c>
      <c r="AF6" s="448">
        <f t="shared" ca="1" si="108"/>
        <v>-36200.482759002742</v>
      </c>
      <c r="AG6" s="448">
        <f t="shared" ca="1" si="108"/>
        <v>-36562.487586592761</v>
      </c>
      <c r="AH6" s="448">
        <f t="shared" ca="1" si="108"/>
        <v>-36928.112462458688</v>
      </c>
      <c r="AI6" s="448">
        <f t="shared" ca="1" si="108"/>
        <v>-37297.393587083279</v>
      </c>
      <c r="AJ6" s="448">
        <f t="shared" ca="1" si="108"/>
        <v>-37670.367522954119</v>
      </c>
      <c r="AK6" s="448">
        <f t="shared" ca="1" si="108"/>
        <v>-38047.071198183658</v>
      </c>
      <c r="AL6" s="448">
        <f t="shared" ca="1" si="108"/>
        <v>-38427.541910165492</v>
      </c>
      <c r="AM6" s="448">
        <f t="shared" ca="1" si="108"/>
        <v>-38811.817329267149</v>
      </c>
      <c r="AN6" s="448">
        <f t="shared" ca="1" si="108"/>
        <v>-39199.93550255982</v>
      </c>
      <c r="AO6" s="448">
        <f t="shared" ca="1" si="108"/>
        <v>-39591.934857585416</v>
      </c>
      <c r="AP6" s="448">
        <f t="shared" ca="1" si="108"/>
        <v>-39987.854206161275</v>
      </c>
      <c r="AQ6" s="448">
        <f t="shared" ca="1" si="108"/>
        <v>-40387.732748222887</v>
      </c>
      <c r="AR6" s="448">
        <f t="shared" ca="1" si="108"/>
        <v>-40791.610075705117</v>
      </c>
      <c r="AS6" s="448">
        <f t="shared" ca="1" si="108"/>
        <v>-41199.526176462168</v>
      </c>
      <c r="AT6" s="448">
        <f t="shared" ca="1" si="108"/>
        <v>-41611.521438226788</v>
      </c>
      <c r="AU6" s="448">
        <f t="shared" ca="1" si="108"/>
        <v>-42027.636652609057</v>
      </c>
      <c r="AV6" s="448">
        <f t="shared" ca="1" si="108"/>
        <v>-42447.913019135151</v>
      </c>
      <c r="AW6" s="448">
        <f t="shared" ca="1" si="108"/>
        <v>-42872.392149326493</v>
      </c>
      <c r="AX6" s="448">
        <f t="shared" ca="1" si="108"/>
        <v>-43301.116070819757</v>
      </c>
      <c r="AY6" s="448">
        <f t="shared" ca="1" si="108"/>
        <v>-43734.127231527957</v>
      </c>
      <c r="AZ6" s="448">
        <f t="shared" ca="1" si="108"/>
        <v>-44171.468503843236</v>
      </c>
      <c r="BA6" s="448">
        <f t="shared" ca="1" si="108"/>
        <v>-44613.183188881667</v>
      </c>
      <c r="BB6" s="448">
        <f t="shared" ca="1" si="108"/>
        <v>-45059.315020770489</v>
      </c>
      <c r="BC6" s="448">
        <f t="shared" ca="1" si="108"/>
        <v>-45509.908170978197</v>
      </c>
      <c r="BD6" s="448">
        <f t="shared" ca="1" si="108"/>
        <v>-45965.007252687974</v>
      </c>
      <c r="BE6" s="448">
        <f t="shared" ca="1" si="108"/>
        <v>-46424.657325214859</v>
      </c>
      <c r="BF6" s="448">
        <f t="shared" ca="1" si="108"/>
        <v>-46888.903898467004</v>
      </c>
      <c r="BG6" s="448">
        <f t="shared" ca="1" si="108"/>
        <v>-47357.792937451675</v>
      </c>
      <c r="BH6" s="448">
        <f t="shared" ca="1" si="108"/>
        <v>-47831.37086682619</v>
      </c>
      <c r="BI6" s="448">
        <f t="shared" ca="1" si="108"/>
        <v>-48309.684575494452</v>
      </c>
      <c r="BJ6" s="448">
        <f t="shared" ca="1" si="108"/>
        <v>-48792.781421249398</v>
      </c>
      <c r="BK6" s="448">
        <f t="shared" ca="1" si="108"/>
        <v>-49280.709235461894</v>
      </c>
      <c r="BL6" s="448">
        <f t="shared" ca="1" si="108"/>
        <v>-49773.516327816513</v>
      </c>
      <c r="BM6" s="448">
        <f t="shared" ca="1" si="108"/>
        <v>-50271.25149109467</v>
      </c>
      <c r="BN6" s="448">
        <f t="shared" ca="1" si="108"/>
        <v>-50773.964006005619</v>
      </c>
      <c r="BO6" s="448">
        <f t="shared" ca="1" si="108"/>
        <v>-51281.703646065675</v>
      </c>
      <c r="BP6" s="448">
        <f t="shared" ca="1" si="108"/>
        <v>-51794.520682526338</v>
      </c>
      <c r="BQ6" s="448">
        <f t="shared" ca="1" si="108"/>
        <v>-52312.465889351603</v>
      </c>
      <c r="BR6" s="448">
        <f t="shared" ca="1" si="108"/>
        <v>-52835.59054824512</v>
      </c>
      <c r="BS6" s="448">
        <f t="shared" ca="1" si="108"/>
        <v>-53363.946453727571</v>
      </c>
      <c r="BT6" s="448">
        <f t="shared" ca="1" si="108"/>
        <v>-53897.585918264849</v>
      </c>
      <c r="BU6" s="448">
        <f t="shared" ca="1" si="108"/>
        <v>-54436.561777447489</v>
      </c>
      <c r="BV6" s="448">
        <f t="shared" ca="1" si="108"/>
        <v>-54980.927395221966</v>
      </c>
      <c r="BW6" s="448">
        <f t="shared" ca="1" si="108"/>
        <v>-55530.736669174192</v>
      </c>
    </row>
    <row r="7" spans="1:76" x14ac:dyDescent="0.25">
      <c r="A7" s="437" t="s">
        <v>240</v>
      </c>
      <c r="B7" s="438">
        <v>4</v>
      </c>
      <c r="C7" s="437" t="s">
        <v>241</v>
      </c>
      <c r="D7" s="442">
        <f ca="1">SUM(D5:D6)</f>
        <v>3106524.3407707913</v>
      </c>
      <c r="E7" s="442">
        <f t="shared" ref="E7:BP7" ca="1" si="109">SUM(E5:E6)</f>
        <v>3106524.3407707913</v>
      </c>
      <c r="F7" s="442">
        <f t="shared" ca="1" si="109"/>
        <v>3106524.3407707913</v>
      </c>
      <c r="G7" s="442">
        <f t="shared" ca="1" si="109"/>
        <v>3106524.3407707913</v>
      </c>
      <c r="H7" s="442">
        <f t="shared" ca="1" si="109"/>
        <v>3106524.3407707913</v>
      </c>
      <c r="I7" s="442">
        <f t="shared" ca="1" si="109"/>
        <v>3106524.3407707913</v>
      </c>
      <c r="J7" s="442">
        <f t="shared" ca="1" si="109"/>
        <v>3106524.3407707913</v>
      </c>
      <c r="K7" s="442">
        <f t="shared" ca="1" si="109"/>
        <v>3106524.3407707913</v>
      </c>
      <c r="L7" s="442">
        <f ca="1">SUM(L5:L6)</f>
        <v>3076856.3971013399</v>
      </c>
      <c r="M7" s="442">
        <f t="shared" ca="1" si="109"/>
        <v>3046891.8125779717</v>
      </c>
      <c r="N7" s="442">
        <f t="shared" ca="1" si="109"/>
        <v>3016627.5822093701</v>
      </c>
      <c r="O7" s="442">
        <f t="shared" ca="1" si="109"/>
        <v>2986060.7095370824</v>
      </c>
      <c r="P7" s="442">
        <f t="shared" ca="1" si="109"/>
        <v>2955188.1681380719</v>
      </c>
      <c r="Q7" s="442">
        <f t="shared" ca="1" si="109"/>
        <v>2924006.9013250712</v>
      </c>
      <c r="R7" s="442">
        <f t="shared" ca="1" si="109"/>
        <v>2892513.8218439403</v>
      </c>
      <c r="S7" s="442">
        <f t="shared" ca="1" si="109"/>
        <v>2860705.811567998</v>
      </c>
      <c r="T7" s="442">
        <f t="shared" ca="1" si="109"/>
        <v>2828579.7211892963</v>
      </c>
      <c r="U7" s="442">
        <f t="shared" ca="1" si="109"/>
        <v>2796132.3699068078</v>
      </c>
      <c r="V7" s="442">
        <f t="shared" ca="1" si="109"/>
        <v>2763360.5451114941</v>
      </c>
      <c r="W7" s="442">
        <f t="shared" ca="1" si="109"/>
        <v>2730261.0020682276</v>
      </c>
      <c r="X7" s="442">
        <f t="shared" ca="1" si="109"/>
        <v>2696830.4635945284</v>
      </c>
      <c r="Y7" s="442">
        <f t="shared" ca="1" si="109"/>
        <v>2663065.6197360922</v>
      </c>
      <c r="Z7" s="442">
        <f t="shared" ca="1" si="109"/>
        <v>2628963.1274390714</v>
      </c>
      <c r="AA7" s="442">
        <f t="shared" ca="1" si="109"/>
        <v>2594519.6102190805</v>
      </c>
      <c r="AB7" s="442">
        <f t="shared" ca="1" si="109"/>
        <v>2559731.6578268898</v>
      </c>
      <c r="AC7" s="442">
        <f t="shared" ca="1" si="109"/>
        <v>2524595.8259107773</v>
      </c>
      <c r="AD7" s="442">
        <f t="shared" ca="1" si="109"/>
        <v>2489108.6356755034</v>
      </c>
      <c r="AE7" s="442">
        <f t="shared" ca="1" si="109"/>
        <v>2453266.5735378768</v>
      </c>
      <c r="AF7" s="442">
        <f t="shared" ca="1" si="109"/>
        <v>2417066.0907788742</v>
      </c>
      <c r="AG7" s="442">
        <f t="shared" ca="1" si="109"/>
        <v>2380503.6031922814</v>
      </c>
      <c r="AH7" s="442">
        <f t="shared" ca="1" si="109"/>
        <v>2343575.4907298228</v>
      </c>
      <c r="AI7" s="442">
        <f t="shared" ca="1" si="109"/>
        <v>2306278.0971427397</v>
      </c>
      <c r="AJ7" s="442">
        <f t="shared" ca="1" si="109"/>
        <v>2268607.7296197857</v>
      </c>
      <c r="AK7" s="442">
        <f t="shared" ca="1" si="109"/>
        <v>2230560.6584216021</v>
      </c>
      <c r="AL7" s="442">
        <f t="shared" ca="1" si="109"/>
        <v>2192133.1165114366</v>
      </c>
      <c r="AM7" s="442">
        <f t="shared" ca="1" si="109"/>
        <v>2153321.2991821696</v>
      </c>
      <c r="AN7" s="442">
        <f t="shared" ca="1" si="109"/>
        <v>2114121.3636796097</v>
      </c>
      <c r="AO7" s="442">
        <f t="shared" ca="1" si="109"/>
        <v>2074529.4288220243</v>
      </c>
      <c r="AP7" s="442">
        <f t="shared" ca="1" si="109"/>
        <v>2034541.5746158629</v>
      </c>
      <c r="AQ7" s="442">
        <f t="shared" ca="1" si="109"/>
        <v>1994153.8418676401</v>
      </c>
      <c r="AR7" s="442">
        <f t="shared" ca="1" si="109"/>
        <v>1953362.2317919349</v>
      </c>
      <c r="AS7" s="442">
        <f t="shared" ca="1" si="109"/>
        <v>1912162.7056154727</v>
      </c>
      <c r="AT7" s="442">
        <f t="shared" ca="1" si="109"/>
        <v>1870551.1841772459</v>
      </c>
      <c r="AU7" s="442">
        <f t="shared" ca="1" si="109"/>
        <v>1828523.5475246368</v>
      </c>
      <c r="AV7" s="442">
        <f t="shared" ca="1" si="109"/>
        <v>1786075.6345055017</v>
      </c>
      <c r="AW7" s="442">
        <f t="shared" ca="1" si="109"/>
        <v>1743203.2423561753</v>
      </c>
      <c r="AX7" s="442">
        <f t="shared" ca="1" si="109"/>
        <v>1699902.1262853555</v>
      </c>
      <c r="AY7" s="442">
        <f t="shared" ca="1" si="109"/>
        <v>1656167.9990538275</v>
      </c>
      <c r="AZ7" s="442">
        <f t="shared" ca="1" si="109"/>
        <v>1611996.5305499842</v>
      </c>
      <c r="BA7" s="442">
        <f t="shared" ca="1" si="109"/>
        <v>1567383.3473611025</v>
      </c>
      <c r="BB7" s="442">
        <f t="shared" ca="1" si="109"/>
        <v>1522324.0323403319</v>
      </c>
      <c r="BC7" s="442">
        <f t="shared" ca="1" si="109"/>
        <v>1476814.1241693536</v>
      </c>
      <c r="BD7" s="442">
        <f t="shared" ca="1" si="109"/>
        <v>1430849.1169166656</v>
      </c>
      <c r="BE7" s="442">
        <f t="shared" ca="1" si="109"/>
        <v>1384424.4595914506</v>
      </c>
      <c r="BF7" s="442">
        <f t="shared" ca="1" si="109"/>
        <v>1337535.5556929836</v>
      </c>
      <c r="BG7" s="442">
        <f t="shared" ca="1" si="109"/>
        <v>1290177.7627555318</v>
      </c>
      <c r="BH7" s="442">
        <f t="shared" ca="1" si="109"/>
        <v>1242346.3918887055</v>
      </c>
      <c r="BI7" s="442">
        <f t="shared" ca="1" si="109"/>
        <v>1194036.7073132112</v>
      </c>
      <c r="BJ7" s="442">
        <f t="shared" ca="1" si="109"/>
        <v>1145243.9258919617</v>
      </c>
      <c r="BK7" s="442">
        <f t="shared" ca="1" si="109"/>
        <v>1095963.2166564998</v>
      </c>
      <c r="BL7" s="442">
        <f t="shared" ca="1" si="109"/>
        <v>1046189.7003286832</v>
      </c>
      <c r="BM7" s="442">
        <f t="shared" ca="1" si="109"/>
        <v>995918.44883758854</v>
      </c>
      <c r="BN7" s="442">
        <f t="shared" ca="1" si="109"/>
        <v>945144.48483158287</v>
      </c>
      <c r="BO7" s="442">
        <f t="shared" ca="1" si="109"/>
        <v>893862.7811855172</v>
      </c>
      <c r="BP7" s="442">
        <f t="shared" ca="1" si="109"/>
        <v>842068.26050299092</v>
      </c>
      <c r="BQ7" s="442">
        <f t="shared" ref="BQ7:BW7" ca="1" si="110">SUM(BQ5:BQ6)</f>
        <v>789755.79461363936</v>
      </c>
      <c r="BR7" s="442">
        <f t="shared" ca="1" si="110"/>
        <v>736920.20406539424</v>
      </c>
      <c r="BS7" s="442">
        <f t="shared" ca="1" si="110"/>
        <v>683556.25761166669</v>
      </c>
      <c r="BT7" s="442">
        <f t="shared" ca="1" si="110"/>
        <v>629658.67169340188</v>
      </c>
      <c r="BU7" s="442">
        <f t="shared" ca="1" si="110"/>
        <v>575222.10991595441</v>
      </c>
      <c r="BV7" s="442">
        <f t="shared" ca="1" si="110"/>
        <v>520241.18252073246</v>
      </c>
      <c r="BW7" s="442">
        <f t="shared" ca="1" si="110"/>
        <v>464710.44585155824</v>
      </c>
    </row>
    <row r="8" spans="1:76" x14ac:dyDescent="0.25">
      <c r="A8" s="437" t="s">
        <v>242</v>
      </c>
      <c r="B8" s="444">
        <v>0.04</v>
      </c>
      <c r="C8" s="437" t="s">
        <v>243</v>
      </c>
      <c r="D8" s="442">
        <f ca="1">-('Plan de financement_input immo '!D5*'Echéancier St Loup Naud'!B8)/4</f>
        <v>-31065.243407707912</v>
      </c>
      <c r="E8" s="442">
        <v>-26778.964883367138</v>
      </c>
      <c r="F8" s="442">
        <v>-26778.964883367138</v>
      </c>
      <c r="G8" s="442">
        <v>-26778.964883367138</v>
      </c>
      <c r="H8" s="442">
        <v>-26778.964883367138</v>
      </c>
      <c r="I8" s="442">
        <v>-26778.964883367138</v>
      </c>
      <c r="J8" s="442">
        <v>-26778.964883367138</v>
      </c>
      <c r="K8" s="442">
        <v>-26778.964883367138</v>
      </c>
      <c r="L8" s="442">
        <f ca="1">IPMT($B$8/$B$7,L4,$B$5*$B$7,$B$6,$B$11)</f>
        <v>-31065.243407707912</v>
      </c>
      <c r="M8" s="442">
        <f t="shared" ref="M8:BW8" ca="1" si="111">IPMT($B$8/$B$7,M4,$B$5*$B$7,$B$6,$B$11)</f>
        <v>-30768.564353021098</v>
      </c>
      <c r="N8" s="442">
        <f t="shared" ca="1" si="111"/>
        <v>-30468.918507787414</v>
      </c>
      <c r="O8" s="442">
        <f t="shared" ca="1" si="111"/>
        <v>-30166.276204101396</v>
      </c>
      <c r="P8" s="442">
        <f t="shared" ca="1" si="111"/>
        <v>-29860.607477378519</v>
      </c>
      <c r="Q8" s="442">
        <f t="shared" ca="1" si="111"/>
        <v>-29551.882063388417</v>
      </c>
      <c r="R8" s="442">
        <f t="shared" ca="1" si="111"/>
        <v>-29240.069395258404</v>
      </c>
      <c r="S8" s="442">
        <f t="shared" ca="1" si="111"/>
        <v>-28925.138600447095</v>
      </c>
      <c r="T8" s="442">
        <f t="shared" ca="1" si="111"/>
        <v>-28607.058497687678</v>
      </c>
      <c r="U8" s="442">
        <f t="shared" ca="1" si="111"/>
        <v>-28285.797593900665</v>
      </c>
      <c r="V8" s="442">
        <f t="shared" ca="1" si="111"/>
        <v>-27961.324081075774</v>
      </c>
      <c r="W8" s="442">
        <f t="shared" ca="1" si="111"/>
        <v>-27633.605833122638</v>
      </c>
      <c r="X8" s="442">
        <f t="shared" ca="1" si="111"/>
        <v>-27302.610402689977</v>
      </c>
      <c r="Y8" s="442">
        <f t="shared" ca="1" si="111"/>
        <v>-26968.305017952986</v>
      </c>
      <c r="Z8" s="442">
        <f t="shared" ca="1" si="111"/>
        <v>-26630.656579368617</v>
      </c>
      <c r="AA8" s="442">
        <f t="shared" ca="1" si="111"/>
        <v>-26289.631656398415</v>
      </c>
      <c r="AB8" s="442">
        <f t="shared" ca="1" si="111"/>
        <v>-25945.196484198503</v>
      </c>
      <c r="AC8" s="442">
        <f t="shared" ca="1" si="111"/>
        <v>-25597.316960276599</v>
      </c>
      <c r="AD8" s="442">
        <f t="shared" ca="1" si="111"/>
        <v>-25245.958641115474</v>
      </c>
      <c r="AE8" s="442">
        <f t="shared" ca="1" si="111"/>
        <v>-24891.086738762737</v>
      </c>
      <c r="AF8" s="442">
        <f t="shared" ca="1" si="111"/>
        <v>-24532.666117386478</v>
      </c>
      <c r="AG8" s="442">
        <f t="shared" ca="1" si="111"/>
        <v>-24170.661289796448</v>
      </c>
      <c r="AH8" s="442">
        <f t="shared" ca="1" si="111"/>
        <v>-23805.03641393052</v>
      </c>
      <c r="AI8" s="442">
        <f t="shared" ca="1" si="111"/>
        <v>-23435.755289305933</v>
      </c>
      <c r="AJ8" s="442">
        <f t="shared" ca="1" si="111"/>
        <v>-23062.781353435097</v>
      </c>
      <c r="AK8" s="442">
        <f t="shared" ca="1" si="111"/>
        <v>-22686.077678205555</v>
      </c>
      <c r="AL8" s="442">
        <f t="shared" ca="1" si="111"/>
        <v>-22305.606966223713</v>
      </c>
      <c r="AM8" s="442">
        <f t="shared" ca="1" si="111"/>
        <v>-21921.331547122063</v>
      </c>
      <c r="AN8" s="442">
        <f t="shared" ca="1" si="111"/>
        <v>-21533.213373829392</v>
      </c>
      <c r="AO8" s="442">
        <f t="shared" ca="1" si="111"/>
        <v>-21141.214018803788</v>
      </c>
      <c r="AP8" s="442">
        <f t="shared" ca="1" si="111"/>
        <v>-20745.294670227941</v>
      </c>
      <c r="AQ8" s="442">
        <f t="shared" ca="1" si="111"/>
        <v>-20345.416128166329</v>
      </c>
      <c r="AR8" s="442">
        <f t="shared" ca="1" si="111"/>
        <v>-19941.538800684095</v>
      </c>
      <c r="AS8" s="442">
        <f t="shared" ca="1" si="111"/>
        <v>-19533.622699927044</v>
      </c>
      <c r="AT8" s="442">
        <f t="shared" ca="1" si="111"/>
        <v>-19121.627438162424</v>
      </c>
      <c r="AU8" s="442">
        <f t="shared" ca="1" si="111"/>
        <v>-18705.512223780159</v>
      </c>
      <c r="AV8" s="442">
        <f t="shared" ca="1" si="111"/>
        <v>-18285.235857254065</v>
      </c>
      <c r="AW8" s="442">
        <f t="shared" ca="1" si="111"/>
        <v>-17860.756727062711</v>
      </c>
      <c r="AX8" s="442">
        <f t="shared" ca="1" si="111"/>
        <v>-17432.032805569452</v>
      </c>
      <c r="AY8" s="442">
        <f t="shared" ca="1" si="111"/>
        <v>-16999.021644861252</v>
      </c>
      <c r="AZ8" s="442">
        <f t="shared" ca="1" si="111"/>
        <v>-16561.680372545969</v>
      </c>
      <c r="BA8" s="442">
        <f t="shared" ca="1" si="111"/>
        <v>-16119.965687507538</v>
      </c>
      <c r="BB8" s="442">
        <f t="shared" ca="1" si="111"/>
        <v>-15673.833855618719</v>
      </c>
      <c r="BC8" s="442">
        <f t="shared" ca="1" si="111"/>
        <v>-15223.240705411017</v>
      </c>
      <c r="BD8" s="442">
        <f t="shared" ca="1" si="111"/>
        <v>-14768.141623701234</v>
      </c>
      <c r="BE8" s="442">
        <f t="shared" ca="1" si="111"/>
        <v>-14308.491551174355</v>
      </c>
      <c r="BF8" s="442">
        <f t="shared" ca="1" si="111"/>
        <v>-13844.24497792221</v>
      </c>
      <c r="BG8" s="442">
        <f t="shared" ca="1" si="111"/>
        <v>-13375.355938937537</v>
      </c>
      <c r="BH8" s="442">
        <f t="shared" ca="1" si="111"/>
        <v>-12901.778009563019</v>
      </c>
      <c r="BI8" s="442">
        <f t="shared" ca="1" si="111"/>
        <v>-12423.464300894757</v>
      </c>
      <c r="BJ8" s="442">
        <f t="shared" ca="1" si="111"/>
        <v>-11940.367455139814</v>
      </c>
      <c r="BK8" s="442">
        <f t="shared" ca="1" si="111"/>
        <v>-11452.439640927319</v>
      </c>
      <c r="BL8" s="442">
        <f t="shared" ca="1" si="111"/>
        <v>-10959.632548572701</v>
      </c>
      <c r="BM8" s="442">
        <f t="shared" ca="1" si="111"/>
        <v>-10461.897385294535</v>
      </c>
      <c r="BN8" s="442">
        <f t="shared" ca="1" si="111"/>
        <v>-9959.1848703835858</v>
      </c>
      <c r="BO8" s="442">
        <f t="shared" ca="1" si="111"/>
        <v>-9451.4452303235321</v>
      </c>
      <c r="BP8" s="442">
        <f t="shared" ca="1" si="111"/>
        <v>-8938.6281938628745</v>
      </c>
      <c r="BQ8" s="442">
        <f t="shared" ca="1" si="111"/>
        <v>-8420.6829870376077</v>
      </c>
      <c r="BR8" s="442">
        <f t="shared" ca="1" si="111"/>
        <v>-7897.558328144094</v>
      </c>
      <c r="BS8" s="442">
        <f t="shared" ca="1" si="111"/>
        <v>-7369.2024226616431</v>
      </c>
      <c r="BT8" s="442">
        <f t="shared" ca="1" si="111"/>
        <v>-6835.5629581243675</v>
      </c>
      <c r="BU8" s="442">
        <f t="shared" ca="1" si="111"/>
        <v>-6296.587098941719</v>
      </c>
      <c r="BV8" s="442">
        <f t="shared" ca="1" si="111"/>
        <v>-5752.2214811672438</v>
      </c>
      <c r="BW8" s="442">
        <f t="shared" ca="1" si="111"/>
        <v>-5202.412207215024</v>
      </c>
    </row>
    <row r="9" spans="1:76" x14ac:dyDescent="0.25">
      <c r="A9" s="437" t="s">
        <v>244</v>
      </c>
      <c r="B9" s="445">
        <v>0</v>
      </c>
      <c r="C9" s="446" t="s">
        <v>245</v>
      </c>
      <c r="D9" s="447">
        <f t="shared" ref="D9:K9" ca="1" si="112">SUM(D6,D8)</f>
        <v>-31065.243407707912</v>
      </c>
      <c r="E9" s="447">
        <f t="shared" si="112"/>
        <v>-26778.964883367138</v>
      </c>
      <c r="F9" s="447">
        <f t="shared" si="112"/>
        <v>-26778.964883367138</v>
      </c>
      <c r="G9" s="447">
        <f t="shared" si="112"/>
        <v>-26778.964883367138</v>
      </c>
      <c r="H9" s="447">
        <f t="shared" si="112"/>
        <v>-26778.964883367138</v>
      </c>
      <c r="I9" s="447">
        <f t="shared" si="112"/>
        <v>-26778.964883367138</v>
      </c>
      <c r="J9" s="447">
        <f t="shared" si="112"/>
        <v>-26778.964883367138</v>
      </c>
      <c r="K9" s="447">
        <f t="shared" si="112"/>
        <v>-26778.964883367138</v>
      </c>
      <c r="L9" s="442">
        <f ca="1">PMT($B$8/$B$7,$B$5*$B$7,$B$6,$B$11)</f>
        <v>-60733.148876389212</v>
      </c>
      <c r="M9" s="442">
        <f t="shared" ref="M9:BW9" ca="1" si="113">PMT($B$8/$B$7,$B$5*$B$7,$B$6,$B$11)</f>
        <v>-60733.148876389212</v>
      </c>
      <c r="N9" s="442">
        <f t="shared" ca="1" si="113"/>
        <v>-60733.148876389212</v>
      </c>
      <c r="O9" s="442">
        <f t="shared" ca="1" si="113"/>
        <v>-60733.148876389212</v>
      </c>
      <c r="P9" s="442">
        <f t="shared" ca="1" si="113"/>
        <v>-60733.148876389212</v>
      </c>
      <c r="Q9" s="442">
        <f t="shared" ca="1" si="113"/>
        <v>-60733.148876389212</v>
      </c>
      <c r="R9" s="442">
        <f t="shared" ca="1" si="113"/>
        <v>-60733.148876389212</v>
      </c>
      <c r="S9" s="442">
        <f t="shared" ca="1" si="113"/>
        <v>-60733.148876389212</v>
      </c>
      <c r="T9" s="442">
        <f t="shared" ca="1" si="113"/>
        <v>-60733.148876389212</v>
      </c>
      <c r="U9" s="442">
        <f t="shared" ca="1" si="113"/>
        <v>-60733.148876389212</v>
      </c>
      <c r="V9" s="442">
        <f t="shared" ca="1" si="113"/>
        <v>-60733.148876389212</v>
      </c>
      <c r="W9" s="442">
        <f t="shared" ca="1" si="113"/>
        <v>-60733.148876389212</v>
      </c>
      <c r="X9" s="442">
        <f t="shared" ca="1" si="113"/>
        <v>-60733.148876389212</v>
      </c>
      <c r="Y9" s="442">
        <f t="shared" ca="1" si="113"/>
        <v>-60733.148876389212</v>
      </c>
      <c r="Z9" s="442">
        <f t="shared" ca="1" si="113"/>
        <v>-60733.148876389212</v>
      </c>
      <c r="AA9" s="442">
        <f t="shared" ca="1" si="113"/>
        <v>-60733.148876389212</v>
      </c>
      <c r="AB9" s="442">
        <f t="shared" ca="1" si="113"/>
        <v>-60733.148876389212</v>
      </c>
      <c r="AC9" s="442">
        <f t="shared" ca="1" si="113"/>
        <v>-60733.148876389212</v>
      </c>
      <c r="AD9" s="442">
        <f t="shared" ca="1" si="113"/>
        <v>-60733.148876389212</v>
      </c>
      <c r="AE9" s="442">
        <f t="shared" ca="1" si="113"/>
        <v>-60733.148876389212</v>
      </c>
      <c r="AF9" s="442">
        <f t="shared" ca="1" si="113"/>
        <v>-60733.148876389212</v>
      </c>
      <c r="AG9" s="442">
        <f t="shared" ca="1" si="113"/>
        <v>-60733.148876389212</v>
      </c>
      <c r="AH9" s="442">
        <f t="shared" ca="1" si="113"/>
        <v>-60733.148876389212</v>
      </c>
      <c r="AI9" s="442">
        <f t="shared" ca="1" si="113"/>
        <v>-60733.148876389212</v>
      </c>
      <c r="AJ9" s="442">
        <f t="shared" ca="1" si="113"/>
        <v>-60733.148876389212</v>
      </c>
      <c r="AK9" s="442">
        <f t="shared" ca="1" si="113"/>
        <v>-60733.148876389212</v>
      </c>
      <c r="AL9" s="442">
        <f t="shared" ca="1" si="113"/>
        <v>-60733.148876389212</v>
      </c>
      <c r="AM9" s="442">
        <f t="shared" ca="1" si="113"/>
        <v>-60733.148876389212</v>
      </c>
      <c r="AN9" s="442">
        <f t="shared" ca="1" si="113"/>
        <v>-60733.148876389212</v>
      </c>
      <c r="AO9" s="442">
        <f t="shared" ca="1" si="113"/>
        <v>-60733.148876389212</v>
      </c>
      <c r="AP9" s="442">
        <f t="shared" ca="1" si="113"/>
        <v>-60733.148876389212</v>
      </c>
      <c r="AQ9" s="442">
        <f t="shared" ca="1" si="113"/>
        <v>-60733.148876389212</v>
      </c>
      <c r="AR9" s="442">
        <f t="shared" ca="1" si="113"/>
        <v>-60733.148876389212</v>
      </c>
      <c r="AS9" s="442">
        <f t="shared" ca="1" si="113"/>
        <v>-60733.148876389212</v>
      </c>
      <c r="AT9" s="442">
        <f t="shared" ca="1" si="113"/>
        <v>-60733.148876389212</v>
      </c>
      <c r="AU9" s="442">
        <f t="shared" ca="1" si="113"/>
        <v>-60733.148876389212</v>
      </c>
      <c r="AV9" s="442">
        <f t="shared" ca="1" si="113"/>
        <v>-60733.148876389212</v>
      </c>
      <c r="AW9" s="442">
        <f t="shared" ca="1" si="113"/>
        <v>-60733.148876389212</v>
      </c>
      <c r="AX9" s="442">
        <f t="shared" ca="1" si="113"/>
        <v>-60733.148876389212</v>
      </c>
      <c r="AY9" s="442">
        <f t="shared" ca="1" si="113"/>
        <v>-60733.148876389212</v>
      </c>
      <c r="AZ9" s="442">
        <f t="shared" ca="1" si="113"/>
        <v>-60733.148876389212</v>
      </c>
      <c r="BA9" s="442">
        <f t="shared" ca="1" si="113"/>
        <v>-60733.148876389212</v>
      </c>
      <c r="BB9" s="442">
        <f t="shared" ca="1" si="113"/>
        <v>-60733.148876389212</v>
      </c>
      <c r="BC9" s="442">
        <f t="shared" ca="1" si="113"/>
        <v>-60733.148876389212</v>
      </c>
      <c r="BD9" s="442">
        <f t="shared" ca="1" si="113"/>
        <v>-60733.148876389212</v>
      </c>
      <c r="BE9" s="442">
        <f t="shared" ca="1" si="113"/>
        <v>-60733.148876389212</v>
      </c>
      <c r="BF9" s="442">
        <f t="shared" ca="1" si="113"/>
        <v>-60733.148876389212</v>
      </c>
      <c r="BG9" s="442">
        <f t="shared" ca="1" si="113"/>
        <v>-60733.148876389212</v>
      </c>
      <c r="BH9" s="442">
        <f t="shared" ca="1" si="113"/>
        <v>-60733.148876389212</v>
      </c>
      <c r="BI9" s="442">
        <f t="shared" ca="1" si="113"/>
        <v>-60733.148876389212</v>
      </c>
      <c r="BJ9" s="442">
        <f t="shared" ca="1" si="113"/>
        <v>-60733.148876389212</v>
      </c>
      <c r="BK9" s="442">
        <f t="shared" ca="1" si="113"/>
        <v>-60733.148876389212</v>
      </c>
      <c r="BL9" s="442">
        <f t="shared" ca="1" si="113"/>
        <v>-60733.148876389212</v>
      </c>
      <c r="BM9" s="442">
        <f t="shared" ca="1" si="113"/>
        <v>-60733.148876389212</v>
      </c>
      <c r="BN9" s="442">
        <f t="shared" ca="1" si="113"/>
        <v>-60733.148876389212</v>
      </c>
      <c r="BO9" s="442">
        <f t="shared" ca="1" si="113"/>
        <v>-60733.148876389212</v>
      </c>
      <c r="BP9" s="442">
        <f t="shared" ca="1" si="113"/>
        <v>-60733.148876389212</v>
      </c>
      <c r="BQ9" s="442">
        <f t="shared" ca="1" si="113"/>
        <v>-60733.148876389212</v>
      </c>
      <c r="BR9" s="442">
        <f t="shared" ca="1" si="113"/>
        <v>-60733.148876389212</v>
      </c>
      <c r="BS9" s="442">
        <f t="shared" ca="1" si="113"/>
        <v>-60733.148876389212</v>
      </c>
      <c r="BT9" s="442">
        <f t="shared" ca="1" si="113"/>
        <v>-60733.148876389212</v>
      </c>
      <c r="BU9" s="442">
        <f t="shared" ca="1" si="113"/>
        <v>-60733.148876389212</v>
      </c>
      <c r="BV9" s="442">
        <f t="shared" ca="1" si="113"/>
        <v>-60733.148876389212</v>
      </c>
      <c r="BW9" s="442">
        <f t="shared" ca="1" si="113"/>
        <v>-60733.148876389212</v>
      </c>
    </row>
    <row r="10" spans="1:76" x14ac:dyDescent="0.25">
      <c r="A10" s="437" t="s">
        <v>246</v>
      </c>
      <c r="B10" s="438"/>
      <c r="C10" s="437" t="s">
        <v>326</v>
      </c>
      <c r="D10" s="449"/>
      <c r="E10" s="450"/>
      <c r="F10" s="450"/>
      <c r="G10" s="451"/>
      <c r="H10" s="449"/>
      <c r="I10" s="450"/>
      <c r="J10" s="450"/>
      <c r="K10" s="450"/>
      <c r="L10" s="450"/>
      <c r="M10" s="450"/>
      <c r="N10" s="450"/>
      <c r="O10" s="451"/>
      <c r="P10" s="449"/>
      <c r="Q10" s="450"/>
      <c r="R10" s="450"/>
      <c r="S10" s="451"/>
      <c r="T10" s="449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0"/>
      <c r="AL10" s="450"/>
      <c r="AM10" s="450"/>
      <c r="AN10" s="450"/>
      <c r="AO10" s="450"/>
      <c r="AP10" s="450"/>
      <c r="AQ10" s="450"/>
      <c r="AR10" s="450"/>
      <c r="AS10" s="450"/>
      <c r="AT10" s="450"/>
      <c r="AU10" s="450"/>
      <c r="AV10" s="450"/>
      <c r="AW10" s="450"/>
      <c r="AX10" s="450"/>
      <c r="AY10" s="450"/>
      <c r="AZ10" s="450"/>
      <c r="BA10" s="450"/>
      <c r="BB10" s="450"/>
      <c r="BC10" s="450"/>
      <c r="BD10" s="450"/>
      <c r="BE10" s="450"/>
      <c r="BF10" s="450"/>
      <c r="BG10" s="450"/>
      <c r="BH10" s="450"/>
      <c r="BI10" s="450"/>
      <c r="BJ10" s="450"/>
      <c r="BK10" s="450"/>
      <c r="BL10" s="450"/>
      <c r="BM10" s="450"/>
      <c r="BN10" s="450"/>
      <c r="BO10" s="450"/>
      <c r="BP10" s="450"/>
      <c r="BQ10" s="450"/>
      <c r="BR10" s="450"/>
      <c r="BS10" s="450"/>
      <c r="BT10" s="450"/>
      <c r="BU10" s="450"/>
      <c r="BV10" s="450"/>
      <c r="BW10" s="450"/>
      <c r="BX10" s="452"/>
    </row>
    <row r="11" spans="1:76" ht="15.75" thickBot="1" x14ac:dyDescent="0.3">
      <c r="A11" s="437" t="s">
        <v>327</v>
      </c>
      <c r="B11" s="445">
        <v>0</v>
      </c>
      <c r="C11" s="437" t="s">
        <v>247</v>
      </c>
      <c r="D11" s="453">
        <f ca="1">ROUNDUP(D9+D10,-2)</f>
        <v>-31100</v>
      </c>
      <c r="E11" s="453">
        <f t="shared" ref="E11:K11" si="114">ROUNDUP(E9+E10,-2)</f>
        <v>-26800</v>
      </c>
      <c r="F11" s="453">
        <f t="shared" si="114"/>
        <v>-26800</v>
      </c>
      <c r="G11" s="453">
        <f t="shared" si="114"/>
        <v>-26800</v>
      </c>
      <c r="H11" s="453">
        <f t="shared" si="114"/>
        <v>-26800</v>
      </c>
      <c r="I11" s="453">
        <f t="shared" si="114"/>
        <v>-26800</v>
      </c>
      <c r="J11" s="453">
        <f t="shared" si="114"/>
        <v>-26800</v>
      </c>
      <c r="K11" s="453">
        <f t="shared" si="114"/>
        <v>-26800</v>
      </c>
      <c r="L11" s="453">
        <f ca="1">ROUNDUP(L8+L6,-2)</f>
        <v>-60800</v>
      </c>
      <c r="M11" s="453">
        <f t="shared" ref="M11:BW11" ca="1" si="115">ROUNDUP(M8+M6,-2)</f>
        <v>-60800</v>
      </c>
      <c r="N11" s="453">
        <f t="shared" ca="1" si="115"/>
        <v>-60800</v>
      </c>
      <c r="O11" s="453">
        <f t="shared" ca="1" si="115"/>
        <v>-60800</v>
      </c>
      <c r="P11" s="453">
        <f t="shared" ca="1" si="115"/>
        <v>-60800</v>
      </c>
      <c r="Q11" s="453">
        <f t="shared" ca="1" si="115"/>
        <v>-60800</v>
      </c>
      <c r="R11" s="453">
        <f t="shared" ca="1" si="115"/>
        <v>-60800</v>
      </c>
      <c r="S11" s="453">
        <f t="shared" ca="1" si="115"/>
        <v>-60800</v>
      </c>
      <c r="T11" s="453">
        <f t="shared" ca="1" si="115"/>
        <v>-60800</v>
      </c>
      <c r="U11" s="453">
        <f t="shared" ca="1" si="115"/>
        <v>-60800</v>
      </c>
      <c r="V11" s="453">
        <f t="shared" ca="1" si="115"/>
        <v>-60800</v>
      </c>
      <c r="W11" s="453">
        <f t="shared" ca="1" si="115"/>
        <v>-60800</v>
      </c>
      <c r="X11" s="453">
        <f t="shared" ca="1" si="115"/>
        <v>-60800</v>
      </c>
      <c r="Y11" s="453">
        <f t="shared" ca="1" si="115"/>
        <v>-60800</v>
      </c>
      <c r="Z11" s="453">
        <f t="shared" ca="1" si="115"/>
        <v>-60800</v>
      </c>
      <c r="AA11" s="453">
        <f t="shared" ca="1" si="115"/>
        <v>-60800</v>
      </c>
      <c r="AB11" s="453">
        <f t="shared" ca="1" si="115"/>
        <v>-60800</v>
      </c>
      <c r="AC11" s="453">
        <f t="shared" ca="1" si="115"/>
        <v>-60800</v>
      </c>
      <c r="AD11" s="453">
        <f t="shared" ca="1" si="115"/>
        <v>-60800</v>
      </c>
      <c r="AE11" s="453">
        <f t="shared" ca="1" si="115"/>
        <v>-60800</v>
      </c>
      <c r="AF11" s="453">
        <f t="shared" ca="1" si="115"/>
        <v>-60800</v>
      </c>
      <c r="AG11" s="453">
        <f t="shared" ca="1" si="115"/>
        <v>-60800</v>
      </c>
      <c r="AH11" s="453">
        <f t="shared" ca="1" si="115"/>
        <v>-60800</v>
      </c>
      <c r="AI11" s="453">
        <f t="shared" ca="1" si="115"/>
        <v>-60800</v>
      </c>
      <c r="AJ11" s="453">
        <f t="shared" ca="1" si="115"/>
        <v>-60800</v>
      </c>
      <c r="AK11" s="453">
        <f t="shared" ca="1" si="115"/>
        <v>-60800</v>
      </c>
      <c r="AL11" s="453">
        <f t="shared" ca="1" si="115"/>
        <v>-60800</v>
      </c>
      <c r="AM11" s="453">
        <f t="shared" ca="1" si="115"/>
        <v>-60800</v>
      </c>
      <c r="AN11" s="453">
        <f t="shared" ca="1" si="115"/>
        <v>-60800</v>
      </c>
      <c r="AO11" s="453">
        <f t="shared" ca="1" si="115"/>
        <v>-60800</v>
      </c>
      <c r="AP11" s="453">
        <f t="shared" ca="1" si="115"/>
        <v>-60800</v>
      </c>
      <c r="AQ11" s="453">
        <f t="shared" ca="1" si="115"/>
        <v>-60800</v>
      </c>
      <c r="AR11" s="453">
        <f t="shared" ca="1" si="115"/>
        <v>-60800</v>
      </c>
      <c r="AS11" s="453">
        <f t="shared" ca="1" si="115"/>
        <v>-60800</v>
      </c>
      <c r="AT11" s="453">
        <f t="shared" ca="1" si="115"/>
        <v>-60800</v>
      </c>
      <c r="AU11" s="453">
        <f t="shared" ca="1" si="115"/>
        <v>-60800</v>
      </c>
      <c r="AV11" s="453">
        <f t="shared" ca="1" si="115"/>
        <v>-60800</v>
      </c>
      <c r="AW11" s="453">
        <f t="shared" ca="1" si="115"/>
        <v>-60800</v>
      </c>
      <c r="AX11" s="453">
        <f t="shared" ca="1" si="115"/>
        <v>-60800</v>
      </c>
      <c r="AY11" s="453">
        <f t="shared" ca="1" si="115"/>
        <v>-60800</v>
      </c>
      <c r="AZ11" s="453">
        <f t="shared" ca="1" si="115"/>
        <v>-60800</v>
      </c>
      <c r="BA11" s="453">
        <f t="shared" ca="1" si="115"/>
        <v>-60800</v>
      </c>
      <c r="BB11" s="453">
        <f t="shared" ca="1" si="115"/>
        <v>-60800</v>
      </c>
      <c r="BC11" s="453">
        <f t="shared" ca="1" si="115"/>
        <v>-60800</v>
      </c>
      <c r="BD11" s="453">
        <f t="shared" ca="1" si="115"/>
        <v>-60800</v>
      </c>
      <c r="BE11" s="453">
        <f t="shared" ca="1" si="115"/>
        <v>-60800</v>
      </c>
      <c r="BF11" s="453">
        <f t="shared" ca="1" si="115"/>
        <v>-60800</v>
      </c>
      <c r="BG11" s="453">
        <f t="shared" ca="1" si="115"/>
        <v>-60800</v>
      </c>
      <c r="BH11" s="453">
        <f t="shared" ca="1" si="115"/>
        <v>-60800</v>
      </c>
      <c r="BI11" s="453">
        <f t="shared" ca="1" si="115"/>
        <v>-60800</v>
      </c>
      <c r="BJ11" s="453">
        <f t="shared" ca="1" si="115"/>
        <v>-60800</v>
      </c>
      <c r="BK11" s="453">
        <f t="shared" ca="1" si="115"/>
        <v>-60800</v>
      </c>
      <c r="BL11" s="453">
        <f t="shared" ca="1" si="115"/>
        <v>-60800</v>
      </c>
      <c r="BM11" s="453">
        <f t="shared" ca="1" si="115"/>
        <v>-60800</v>
      </c>
      <c r="BN11" s="453">
        <f t="shared" ca="1" si="115"/>
        <v>-60800</v>
      </c>
      <c r="BO11" s="453">
        <f t="shared" ca="1" si="115"/>
        <v>-60800</v>
      </c>
      <c r="BP11" s="453">
        <f t="shared" ca="1" si="115"/>
        <v>-60800</v>
      </c>
      <c r="BQ11" s="453">
        <f t="shared" ca="1" si="115"/>
        <v>-60800</v>
      </c>
      <c r="BR11" s="453">
        <f t="shared" ca="1" si="115"/>
        <v>-60800</v>
      </c>
      <c r="BS11" s="453">
        <f t="shared" ca="1" si="115"/>
        <v>-60800</v>
      </c>
      <c r="BT11" s="453">
        <f t="shared" ca="1" si="115"/>
        <v>-60800</v>
      </c>
      <c r="BU11" s="453">
        <f t="shared" ca="1" si="115"/>
        <v>-60800</v>
      </c>
      <c r="BV11" s="453">
        <f t="shared" ca="1" si="115"/>
        <v>-60800</v>
      </c>
      <c r="BW11" s="454">
        <f t="shared" ca="1" si="115"/>
        <v>-60800</v>
      </c>
    </row>
    <row r="12" spans="1:76" x14ac:dyDescent="0.25">
      <c r="A12" s="437" t="s">
        <v>248</v>
      </c>
      <c r="B12" s="438" t="s">
        <v>249</v>
      </c>
      <c r="C12" s="437" t="s">
        <v>250</v>
      </c>
      <c r="G12" s="455">
        <f ca="1">SUM(D11:G11)</f>
        <v>-111500</v>
      </c>
      <c r="K12" s="455">
        <f>SUM(H11:K11)</f>
        <v>-107200</v>
      </c>
      <c r="O12" s="455">
        <f ca="1">SUM(L11:O11)</f>
        <v>-243200</v>
      </c>
      <c r="S12" s="455">
        <f ca="1">SUM(P11:S11)</f>
        <v>-243200</v>
      </c>
      <c r="W12" s="455">
        <f ca="1">SUM(T11:W11)</f>
        <v>-243200</v>
      </c>
      <c r="AA12" s="455">
        <f ca="1">SUM(X11:AA11)</f>
        <v>-243200</v>
      </c>
      <c r="AE12" s="455">
        <f ca="1">SUM(AB11:AE11)</f>
        <v>-243200</v>
      </c>
      <c r="AI12" s="455">
        <f ca="1">SUM(AF11:AI11)</f>
        <v>-243200</v>
      </c>
      <c r="AM12" s="455">
        <f ca="1">SUM(AJ11:AM11)</f>
        <v>-243200</v>
      </c>
      <c r="AQ12" s="455">
        <f ca="1">SUM(AN11:AQ11)</f>
        <v>-243200</v>
      </c>
      <c r="AR12" s="455"/>
      <c r="AS12" s="455"/>
      <c r="AT12" s="455"/>
      <c r="AU12" s="455">
        <f ca="1">SUM(AR11:AU11)</f>
        <v>-243200</v>
      </c>
      <c r="AV12" s="455"/>
      <c r="AW12" s="455"/>
      <c r="AX12" s="455"/>
      <c r="AY12" s="455">
        <f ca="1">SUM(AV11:AY11)</f>
        <v>-243200</v>
      </c>
      <c r="AZ12" s="455"/>
      <c r="BA12" s="455"/>
      <c r="BB12" s="455"/>
      <c r="BC12" s="455">
        <f ca="1">SUM(AZ11:BC11)</f>
        <v>-243200</v>
      </c>
      <c r="BD12" s="455"/>
      <c r="BE12" s="455"/>
      <c r="BF12" s="455"/>
      <c r="BG12" s="455">
        <f ca="1">SUM(BD11:BG11)</f>
        <v>-243200</v>
      </c>
      <c r="BH12" s="455"/>
      <c r="BI12" s="455"/>
      <c r="BJ12" s="455"/>
      <c r="BK12" s="455">
        <f ca="1">SUM(BH11:BK11)</f>
        <v>-243200</v>
      </c>
      <c r="BL12" s="455"/>
      <c r="BO12" s="455">
        <f ca="1">SUM(BL11:BO11)</f>
        <v>-243200</v>
      </c>
      <c r="BS12" s="455">
        <f ca="1">SUM(BP11:BS11)</f>
        <v>-243200</v>
      </c>
      <c r="BW12" s="455">
        <f ca="1">SUM(BT11:BW11)</f>
        <v>-243200</v>
      </c>
    </row>
    <row r="13" spans="1:76" ht="15.75" thickBot="1" x14ac:dyDescent="0.3">
      <c r="A13" s="437" t="s">
        <v>251</v>
      </c>
      <c r="B13" s="438" t="s">
        <v>249</v>
      </c>
      <c r="C13" s="446" t="s">
        <v>328</v>
      </c>
      <c r="D13" s="456"/>
      <c r="E13" s="456"/>
      <c r="F13" s="456" t="s">
        <v>329</v>
      </c>
      <c r="G13" s="456"/>
      <c r="H13" s="457">
        <f ca="1">SUM(G12,K12)</f>
        <v>-218700</v>
      </c>
      <c r="I13" s="456"/>
      <c r="J13" s="456"/>
      <c r="K13" s="456"/>
      <c r="L13" s="458" t="s">
        <v>330</v>
      </c>
      <c r="M13" s="458"/>
      <c r="N13" s="458"/>
      <c r="O13" s="459">
        <f ca="1">SUM(L6:BW6)+SUM(L8:BW8)</f>
        <v>-3886921.5662896805</v>
      </c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458"/>
      <c r="AL13" s="458"/>
      <c r="AM13" s="458"/>
      <c r="AN13" s="458"/>
      <c r="AO13" s="458"/>
      <c r="AP13" s="458"/>
      <c r="AQ13" s="458"/>
      <c r="AR13" s="458"/>
      <c r="AS13" s="458"/>
      <c r="AT13" s="458"/>
      <c r="AU13" s="458"/>
      <c r="AV13" s="458"/>
      <c r="AW13" s="458"/>
      <c r="AX13" s="458"/>
      <c r="AY13" s="458"/>
      <c r="AZ13" s="458"/>
      <c r="BA13" s="458"/>
      <c r="BB13" s="458"/>
      <c r="BC13" s="458"/>
      <c r="BD13" s="458"/>
      <c r="BE13" s="458"/>
      <c r="BF13" s="458"/>
      <c r="BG13" s="458"/>
      <c r="BH13" s="458"/>
      <c r="BI13" s="458"/>
      <c r="BJ13" s="458"/>
      <c r="BK13" s="458"/>
      <c r="BL13" s="458"/>
      <c r="BM13" s="458"/>
      <c r="BN13" s="458"/>
      <c r="BO13" s="458"/>
      <c r="BP13" s="458"/>
      <c r="BQ13" s="458"/>
      <c r="BR13" s="458"/>
      <c r="BS13" s="458"/>
      <c r="BT13" s="458"/>
      <c r="BU13" s="458"/>
      <c r="BV13" s="458"/>
      <c r="BW13" s="458"/>
    </row>
    <row r="14" spans="1:76" x14ac:dyDescent="0.25">
      <c r="A14" s="460" t="s">
        <v>253</v>
      </c>
      <c r="B14" s="461"/>
      <c r="C14" s="462">
        <f>-SUM(D10:G10)</f>
        <v>0</v>
      </c>
      <c r="D14" s="463"/>
      <c r="E14" s="464"/>
      <c r="F14" s="464"/>
      <c r="G14" s="464"/>
      <c r="H14" s="464"/>
      <c r="I14" s="464"/>
      <c r="J14" s="464"/>
      <c r="K14" s="464"/>
      <c r="L14" s="464" t="s">
        <v>254</v>
      </c>
      <c r="M14" s="464"/>
      <c r="N14" s="464"/>
      <c r="O14" s="465">
        <f ca="1">SUM(H13,O13)</f>
        <v>-4105621.5662896805</v>
      </c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  <c r="AL14" s="464"/>
      <c r="AM14" s="464"/>
      <c r="AN14" s="464"/>
      <c r="AO14" s="464"/>
      <c r="AP14" s="464"/>
      <c r="AQ14" s="464"/>
      <c r="AR14" s="464"/>
      <c r="AS14" s="464"/>
      <c r="AT14" s="464"/>
      <c r="AU14" s="464"/>
      <c r="AV14" s="464"/>
      <c r="AW14" s="464"/>
      <c r="AX14" s="464"/>
      <c r="AY14" s="464"/>
      <c r="AZ14" s="464"/>
      <c r="BA14" s="464"/>
      <c r="BB14" s="464"/>
      <c r="BC14" s="464"/>
      <c r="BD14" s="464"/>
      <c r="BE14" s="464"/>
      <c r="BF14" s="464"/>
      <c r="BG14" s="464"/>
      <c r="BH14" s="464"/>
      <c r="BI14" s="464"/>
      <c r="BJ14" s="464"/>
      <c r="BK14" s="464"/>
      <c r="BL14" s="464"/>
      <c r="BM14" s="464"/>
      <c r="BN14" s="464"/>
      <c r="BO14" s="464"/>
      <c r="BP14" s="464"/>
      <c r="BQ14" s="464"/>
      <c r="BR14" s="464"/>
      <c r="BS14" s="464"/>
      <c r="BT14" s="464"/>
      <c r="BU14" s="464"/>
      <c r="BV14" s="464"/>
      <c r="BW14" s="464"/>
    </row>
    <row r="15" spans="1:76" ht="15.75" thickBot="1" x14ac:dyDescent="0.3">
      <c r="A15" s="466" t="s">
        <v>255</v>
      </c>
      <c r="B15" s="467"/>
      <c r="C15" s="468">
        <f>-C14/36</f>
        <v>0</v>
      </c>
    </row>
    <row r="16" spans="1:76" ht="15" customHeight="1" x14ac:dyDescent="0.25">
      <c r="C16" s="507" t="s">
        <v>331</v>
      </c>
      <c r="D16" s="456" t="s">
        <v>332</v>
      </c>
      <c r="E16" s="456"/>
      <c r="F16" s="456"/>
      <c r="G16" s="456"/>
      <c r="H16" s="457">
        <f ca="1">H13*0.5</f>
        <v>-109350</v>
      </c>
      <c r="I16" s="456"/>
      <c r="J16" s="456"/>
      <c r="K16" s="456"/>
    </row>
    <row r="17" spans="1:23" ht="15" customHeight="1" x14ac:dyDescent="0.45">
      <c r="A17" s="469"/>
      <c r="B17" s="469"/>
      <c r="C17" s="508"/>
      <c r="D17" s="470"/>
      <c r="E17" s="470"/>
      <c r="F17" s="470"/>
      <c r="G17" s="470"/>
      <c r="H17" s="470"/>
      <c r="I17" s="470"/>
      <c r="J17" s="470"/>
      <c r="K17" s="470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</row>
    <row r="18" spans="1:23" ht="29.25" thickBot="1" x14ac:dyDescent="0.5">
      <c r="A18" s="431" t="s">
        <v>219</v>
      </c>
      <c r="B18" s="432"/>
      <c r="C18" s="432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</row>
    <row r="19" spans="1:23" ht="15.75" customHeight="1" thickBot="1" x14ac:dyDescent="0.3">
      <c r="A19" s="435" t="s">
        <v>220</v>
      </c>
      <c r="B19" s="436"/>
      <c r="C19" s="435"/>
      <c r="D19" s="504" t="s">
        <v>221</v>
      </c>
      <c r="E19" s="505"/>
      <c r="F19" s="505"/>
      <c r="G19" s="506"/>
      <c r="H19" s="504" t="s">
        <v>222</v>
      </c>
      <c r="I19" s="505"/>
      <c r="J19" s="505"/>
      <c r="K19" s="506"/>
      <c r="L19" s="504" t="s">
        <v>223</v>
      </c>
      <c r="M19" s="505"/>
      <c r="N19" s="505"/>
      <c r="O19" s="506"/>
      <c r="P19" s="504" t="s">
        <v>224</v>
      </c>
      <c r="Q19" s="505"/>
      <c r="R19" s="505"/>
      <c r="S19" s="506"/>
      <c r="T19" s="504" t="s">
        <v>225</v>
      </c>
      <c r="U19" s="505"/>
      <c r="V19" s="505"/>
      <c r="W19" s="506"/>
    </row>
    <row r="20" spans="1:23" ht="15.75" customHeight="1" x14ac:dyDescent="0.25">
      <c r="A20" s="437" t="s">
        <v>233</v>
      </c>
      <c r="B20" s="438" t="s">
        <v>325</v>
      </c>
      <c r="C20" s="437" t="s">
        <v>234</v>
      </c>
      <c r="D20" s="439">
        <f>D3</f>
        <v>46388</v>
      </c>
      <c r="E20" s="439">
        <f t="shared" ref="E20:W20" si="116">EDATE(D20,12/$B$24)</f>
        <v>46478</v>
      </c>
      <c r="F20" s="439">
        <f t="shared" si="116"/>
        <v>46569</v>
      </c>
      <c r="G20" s="439">
        <f t="shared" si="116"/>
        <v>46661</v>
      </c>
      <c r="H20" s="439">
        <f t="shared" si="116"/>
        <v>46753</v>
      </c>
      <c r="I20" s="439">
        <f t="shared" si="116"/>
        <v>46844</v>
      </c>
      <c r="J20" s="439">
        <f t="shared" si="116"/>
        <v>46935</v>
      </c>
      <c r="K20" s="439">
        <f t="shared" si="116"/>
        <v>47027</v>
      </c>
      <c r="L20" s="439">
        <f t="shared" si="116"/>
        <v>47119</v>
      </c>
      <c r="M20" s="439">
        <f t="shared" si="116"/>
        <v>47209</v>
      </c>
      <c r="N20" s="439">
        <f t="shared" si="116"/>
        <v>47300</v>
      </c>
      <c r="O20" s="439">
        <f t="shared" si="116"/>
        <v>47392</v>
      </c>
      <c r="P20" s="439">
        <f t="shared" si="116"/>
        <v>47484</v>
      </c>
      <c r="Q20" s="439">
        <f t="shared" si="116"/>
        <v>47574</v>
      </c>
      <c r="R20" s="439">
        <f t="shared" si="116"/>
        <v>47665</v>
      </c>
      <c r="S20" s="439">
        <f t="shared" si="116"/>
        <v>47757</v>
      </c>
      <c r="T20" s="439">
        <f t="shared" si="116"/>
        <v>47849</v>
      </c>
      <c r="U20" s="439">
        <f t="shared" si="116"/>
        <v>47939</v>
      </c>
      <c r="V20" s="439">
        <f t="shared" si="116"/>
        <v>48030</v>
      </c>
      <c r="W20" s="439">
        <f t="shared" si="116"/>
        <v>48122</v>
      </c>
    </row>
    <row r="21" spans="1:23" ht="15.75" customHeight="1" x14ac:dyDescent="0.25">
      <c r="A21" s="437" t="s">
        <v>235</v>
      </c>
      <c r="B21" s="440">
        <f>B4</f>
        <v>46388</v>
      </c>
      <c r="C21" s="437" t="s">
        <v>236</v>
      </c>
      <c r="D21" s="441">
        <v>1</v>
      </c>
      <c r="E21" s="441">
        <f t="shared" ref="E21:J21" si="117">D21+1</f>
        <v>2</v>
      </c>
      <c r="F21" s="441">
        <f t="shared" si="117"/>
        <v>3</v>
      </c>
      <c r="G21" s="441">
        <f t="shared" si="117"/>
        <v>4</v>
      </c>
      <c r="H21" s="441">
        <f t="shared" si="117"/>
        <v>5</v>
      </c>
      <c r="I21" s="441">
        <f t="shared" si="117"/>
        <v>6</v>
      </c>
      <c r="J21" s="441">
        <f t="shared" si="117"/>
        <v>7</v>
      </c>
      <c r="K21" s="441">
        <f>J21+1</f>
        <v>8</v>
      </c>
      <c r="L21" s="441">
        <f t="shared" ref="L21:W21" si="118">K21+1</f>
        <v>9</v>
      </c>
      <c r="M21" s="441">
        <f t="shared" si="118"/>
        <v>10</v>
      </c>
      <c r="N21" s="441">
        <f t="shared" si="118"/>
        <v>11</v>
      </c>
      <c r="O21" s="441">
        <f t="shared" si="118"/>
        <v>12</v>
      </c>
      <c r="P21" s="441">
        <f t="shared" si="118"/>
        <v>13</v>
      </c>
      <c r="Q21" s="441">
        <f t="shared" si="118"/>
        <v>14</v>
      </c>
      <c r="R21" s="441">
        <f t="shared" si="118"/>
        <v>15</v>
      </c>
      <c r="S21" s="441">
        <f t="shared" si="118"/>
        <v>16</v>
      </c>
      <c r="T21" s="441">
        <f t="shared" si="118"/>
        <v>17</v>
      </c>
      <c r="U21" s="441">
        <f t="shared" si="118"/>
        <v>18</v>
      </c>
      <c r="V21" s="441">
        <f t="shared" si="118"/>
        <v>19</v>
      </c>
      <c r="W21" s="441">
        <f t="shared" si="118"/>
        <v>20</v>
      </c>
    </row>
    <row r="22" spans="1:23" x14ac:dyDescent="0.25">
      <c r="A22" s="437" t="s">
        <v>333</v>
      </c>
      <c r="B22" s="438">
        <v>5</v>
      </c>
      <c r="C22" s="437" t="s">
        <v>237</v>
      </c>
      <c r="D22" s="442">
        <f>B23</f>
        <v>130000</v>
      </c>
      <c r="E22" s="442">
        <f>D24</f>
        <v>123951.01784786023</v>
      </c>
      <c r="F22" s="442">
        <f t="shared" ref="F22:W22" si="119">E24</f>
        <v>117856.66832957942</v>
      </c>
      <c r="G22" s="442">
        <f t="shared" si="119"/>
        <v>111716.61118991149</v>
      </c>
      <c r="H22" s="442">
        <f t="shared" si="119"/>
        <v>105530.50362169606</v>
      </c>
      <c r="I22" s="442">
        <f t="shared" si="119"/>
        <v>99298.000246719006</v>
      </c>
      <c r="J22" s="442">
        <f t="shared" si="119"/>
        <v>93018.753096429631</v>
      </c>
      <c r="K22" s="442">
        <f t="shared" si="119"/>
        <v>86692.41159251309</v>
      </c>
      <c r="L22" s="442">
        <f t="shared" si="119"/>
        <v>80318.622527317173</v>
      </c>
      <c r="M22" s="442">
        <f t="shared" si="119"/>
        <v>73897.030044132291</v>
      </c>
      <c r="N22" s="442">
        <f t="shared" si="119"/>
        <v>67427.27561732351</v>
      </c>
      <c r="O22" s="442">
        <f t="shared" si="119"/>
        <v>60908.99803231367</v>
      </c>
      <c r="P22" s="442">
        <f t="shared" si="119"/>
        <v>54341.833365416256</v>
      </c>
      <c r="Q22" s="442">
        <f t="shared" si="119"/>
        <v>47725.414963517112</v>
      </c>
      <c r="R22" s="442">
        <f t="shared" si="119"/>
        <v>41059.373423603727</v>
      </c>
      <c r="S22" s="442">
        <f t="shared" si="119"/>
        <v>34343.336572140986</v>
      </c>
      <c r="T22" s="442">
        <f t="shared" si="119"/>
        <v>27576.929444292276</v>
      </c>
      <c r="U22" s="442">
        <f t="shared" si="119"/>
        <v>20759.774262984698</v>
      </c>
      <c r="V22" s="442">
        <f t="shared" si="119"/>
        <v>13891.490417817316</v>
      </c>
      <c r="W22" s="442">
        <f t="shared" si="119"/>
        <v>6971.6944438111786</v>
      </c>
    </row>
    <row r="23" spans="1:23" x14ac:dyDescent="0.25">
      <c r="A23" s="437" t="s">
        <v>238</v>
      </c>
      <c r="B23" s="443">
        <v>130000</v>
      </c>
      <c r="C23" s="437" t="s">
        <v>239</v>
      </c>
      <c r="D23" s="442">
        <f>PPMT($B$25/$B$24,D21,$B$22*$B$24,$B$23,$B$28)</f>
        <v>-6048.982152139768</v>
      </c>
      <c r="E23" s="442">
        <f t="shared" ref="E23:W23" si="120">PPMT($B$25/$B$24,E21,$B$22*$B$24,$B$23,$B$28)</f>
        <v>-6094.3495182808165</v>
      </c>
      <c r="F23" s="442">
        <f t="shared" si="120"/>
        <v>-6140.0571396679225</v>
      </c>
      <c r="G23" s="442">
        <f t="shared" si="120"/>
        <v>-6186.1075682154315</v>
      </c>
      <c r="H23" s="442">
        <f t="shared" si="120"/>
        <v>-6232.5033749770473</v>
      </c>
      <c r="I23" s="442">
        <f t="shared" si="120"/>
        <v>-6279.2471502893759</v>
      </c>
      <c r="J23" s="442">
        <f t="shared" si="120"/>
        <v>-6326.3415039165457</v>
      </c>
      <c r="K23" s="442">
        <f t="shared" si="120"/>
        <v>-6373.7890651959196</v>
      </c>
      <c r="L23" s="442">
        <f t="shared" si="120"/>
        <v>-6421.5924831848897</v>
      </c>
      <c r="M23" s="442">
        <f t="shared" si="120"/>
        <v>-6469.754426808775</v>
      </c>
      <c r="N23" s="442">
        <f t="shared" si="120"/>
        <v>-6518.2775850098415</v>
      </c>
      <c r="O23" s="442">
        <f t="shared" si="120"/>
        <v>-6567.1646668974154</v>
      </c>
      <c r="P23" s="442">
        <f t="shared" si="120"/>
        <v>-6616.4184018991464</v>
      </c>
      <c r="Q23" s="442">
        <f t="shared" si="120"/>
        <v>-6666.041539913389</v>
      </c>
      <c r="R23" s="442">
        <f t="shared" si="120"/>
        <v>-6716.0368514627398</v>
      </c>
      <c r="S23" s="442">
        <f t="shared" si="120"/>
        <v>-6766.4071278487108</v>
      </c>
      <c r="T23" s="442">
        <f t="shared" si="120"/>
        <v>-6817.1551813075766</v>
      </c>
      <c r="U23" s="442">
        <f t="shared" si="120"/>
        <v>-6868.2838451673824</v>
      </c>
      <c r="V23" s="442">
        <f t="shared" si="120"/>
        <v>-6919.7959740061378</v>
      </c>
      <c r="W23" s="442">
        <f t="shared" si="120"/>
        <v>-6971.6944438111841</v>
      </c>
    </row>
    <row r="24" spans="1:23" x14ac:dyDescent="0.25">
      <c r="A24" s="437" t="s">
        <v>240</v>
      </c>
      <c r="B24" s="438">
        <v>4</v>
      </c>
      <c r="C24" s="437" t="s">
        <v>241</v>
      </c>
      <c r="D24" s="442">
        <f>SUM(D22:D23)</f>
        <v>123951.01784786023</v>
      </c>
      <c r="E24" s="442">
        <f>SUM(E22:E23)</f>
        <v>117856.66832957942</v>
      </c>
      <c r="F24" s="442">
        <f t="shared" ref="F24:W24" si="121">SUM(F22:F23)</f>
        <v>111716.61118991149</v>
      </c>
      <c r="G24" s="442">
        <f t="shared" si="121"/>
        <v>105530.50362169606</v>
      </c>
      <c r="H24" s="442">
        <f t="shared" si="121"/>
        <v>99298.000246719006</v>
      </c>
      <c r="I24" s="442">
        <f t="shared" si="121"/>
        <v>93018.753096429631</v>
      </c>
      <c r="J24" s="442">
        <f t="shared" si="121"/>
        <v>86692.41159251309</v>
      </c>
      <c r="K24" s="442">
        <f t="shared" si="121"/>
        <v>80318.622527317173</v>
      </c>
      <c r="L24" s="442">
        <f t="shared" si="121"/>
        <v>73897.030044132291</v>
      </c>
      <c r="M24" s="442">
        <f t="shared" si="121"/>
        <v>67427.27561732351</v>
      </c>
      <c r="N24" s="442">
        <f t="shared" si="121"/>
        <v>60908.99803231367</v>
      </c>
      <c r="O24" s="442">
        <f t="shared" si="121"/>
        <v>54341.833365416256</v>
      </c>
      <c r="P24" s="442">
        <f t="shared" si="121"/>
        <v>47725.414963517112</v>
      </c>
      <c r="Q24" s="442">
        <f t="shared" si="121"/>
        <v>41059.373423603727</v>
      </c>
      <c r="R24" s="442">
        <f t="shared" si="121"/>
        <v>34343.336572140986</v>
      </c>
      <c r="S24" s="442">
        <f t="shared" si="121"/>
        <v>27576.929444292276</v>
      </c>
      <c r="T24" s="442">
        <f t="shared" si="121"/>
        <v>20759.774262984698</v>
      </c>
      <c r="U24" s="442">
        <f t="shared" si="121"/>
        <v>13891.490417817316</v>
      </c>
      <c r="V24" s="442">
        <f t="shared" si="121"/>
        <v>6971.6944438111786</v>
      </c>
      <c r="W24" s="442">
        <f t="shared" si="121"/>
        <v>0</v>
      </c>
    </row>
    <row r="25" spans="1:23" x14ac:dyDescent="0.25">
      <c r="A25" s="437" t="s">
        <v>242</v>
      </c>
      <c r="B25" s="444">
        <v>0.03</v>
      </c>
      <c r="C25" s="437" t="s">
        <v>243</v>
      </c>
      <c r="D25" s="442">
        <f>IPMT($B$25/$B$24,D21,$B$22*$B$24,$B$23,$B$28)</f>
        <v>-975</v>
      </c>
      <c r="E25" s="442">
        <f t="shared" ref="E25:W25" si="122">IPMT($B$25/$B$24,E21,$B$22*$B$24,$B$23,$B$28)</f>
        <v>-929.63263385895198</v>
      </c>
      <c r="F25" s="442">
        <f t="shared" si="122"/>
        <v>-883.92501247184566</v>
      </c>
      <c r="G25" s="442">
        <f t="shared" si="122"/>
        <v>-837.87458392433632</v>
      </c>
      <c r="H25" s="442">
        <f t="shared" si="122"/>
        <v>-791.47877716272058</v>
      </c>
      <c r="I25" s="442">
        <f t="shared" si="122"/>
        <v>-744.73500185039279</v>
      </c>
      <c r="J25" s="442">
        <f t="shared" si="122"/>
        <v>-697.64064822322246</v>
      </c>
      <c r="K25" s="442">
        <f t="shared" si="122"/>
        <v>-650.19308694384847</v>
      </c>
      <c r="L25" s="442">
        <f t="shared" si="122"/>
        <v>-602.38966895487897</v>
      </c>
      <c r="M25" s="442">
        <f t="shared" si="122"/>
        <v>-554.22772533099226</v>
      </c>
      <c r="N25" s="442">
        <f t="shared" si="122"/>
        <v>-505.70456712992643</v>
      </c>
      <c r="O25" s="442">
        <f t="shared" si="122"/>
        <v>-456.81748524235257</v>
      </c>
      <c r="P25" s="442">
        <f t="shared" si="122"/>
        <v>-407.56375024062203</v>
      </c>
      <c r="Q25" s="442">
        <f t="shared" si="122"/>
        <v>-357.94061222637845</v>
      </c>
      <c r="R25" s="442">
        <f t="shared" si="122"/>
        <v>-307.945300677028</v>
      </c>
      <c r="S25" s="442">
        <f t="shared" si="122"/>
        <v>-257.57502429105745</v>
      </c>
      <c r="T25" s="442">
        <f t="shared" si="122"/>
        <v>-206.82697083219213</v>
      </c>
      <c r="U25" s="442">
        <f t="shared" si="122"/>
        <v>-155.6983069723853</v>
      </c>
      <c r="V25" s="442">
        <f t="shared" si="122"/>
        <v>-104.18617813362992</v>
      </c>
      <c r="W25" s="442">
        <f t="shared" si="122"/>
        <v>-52.287708328583882</v>
      </c>
    </row>
    <row r="26" spans="1:23" x14ac:dyDescent="0.25">
      <c r="A26" s="437" t="s">
        <v>244</v>
      </c>
      <c r="B26" s="445">
        <v>0</v>
      </c>
      <c r="C26" s="472" t="s">
        <v>245</v>
      </c>
      <c r="D26" s="448">
        <f>PMT($B$25/$B$24,$B$22*$B$24,$B$23,$B$28)</f>
        <v>-7023.982152139768</v>
      </c>
      <c r="E26" s="448">
        <f>PMT($B$25/$B$24,$B$22*$B$24,$B$23,$B$28)</f>
        <v>-7023.982152139768</v>
      </c>
      <c r="F26" s="448">
        <f t="shared" ref="F26:W26" si="123">PMT($B$25/$B$24,$B$22*$B$24,$B$23,$B$28)</f>
        <v>-7023.982152139768</v>
      </c>
      <c r="G26" s="448">
        <f t="shared" si="123"/>
        <v>-7023.982152139768</v>
      </c>
      <c r="H26" s="448">
        <f t="shared" si="123"/>
        <v>-7023.982152139768</v>
      </c>
      <c r="I26" s="448">
        <f t="shared" si="123"/>
        <v>-7023.982152139768</v>
      </c>
      <c r="J26" s="448">
        <f t="shared" si="123"/>
        <v>-7023.982152139768</v>
      </c>
      <c r="K26" s="448">
        <f t="shared" si="123"/>
        <v>-7023.982152139768</v>
      </c>
      <c r="L26" s="448">
        <f t="shared" si="123"/>
        <v>-7023.982152139768</v>
      </c>
      <c r="M26" s="448">
        <f t="shared" si="123"/>
        <v>-7023.982152139768</v>
      </c>
      <c r="N26" s="448">
        <f t="shared" si="123"/>
        <v>-7023.982152139768</v>
      </c>
      <c r="O26" s="448">
        <f t="shared" si="123"/>
        <v>-7023.982152139768</v>
      </c>
      <c r="P26" s="448">
        <f t="shared" si="123"/>
        <v>-7023.982152139768</v>
      </c>
      <c r="Q26" s="448">
        <f t="shared" si="123"/>
        <v>-7023.982152139768</v>
      </c>
      <c r="R26" s="448">
        <f t="shared" si="123"/>
        <v>-7023.982152139768</v>
      </c>
      <c r="S26" s="448">
        <f t="shared" si="123"/>
        <v>-7023.982152139768</v>
      </c>
      <c r="T26" s="448">
        <f t="shared" si="123"/>
        <v>-7023.982152139768</v>
      </c>
      <c r="U26" s="448">
        <f t="shared" si="123"/>
        <v>-7023.982152139768</v>
      </c>
      <c r="V26" s="448">
        <f t="shared" si="123"/>
        <v>-7023.982152139768</v>
      </c>
      <c r="W26" s="448">
        <f t="shared" si="123"/>
        <v>-7023.982152139768</v>
      </c>
    </row>
    <row r="27" spans="1:23" x14ac:dyDescent="0.25">
      <c r="A27" s="437" t="s">
        <v>246</v>
      </c>
      <c r="B27" s="438"/>
      <c r="C27" s="437"/>
      <c r="D27" s="449"/>
      <c r="E27" s="450"/>
      <c r="F27" s="450"/>
      <c r="G27" s="451"/>
      <c r="H27" s="449"/>
      <c r="I27" s="450"/>
      <c r="J27" s="450"/>
      <c r="K27" s="450"/>
      <c r="L27" s="450"/>
      <c r="M27" s="450"/>
      <c r="N27" s="450"/>
      <c r="O27" s="451"/>
      <c r="P27" s="449"/>
      <c r="Q27" s="450"/>
      <c r="R27" s="450"/>
      <c r="S27" s="451"/>
      <c r="T27" s="449"/>
      <c r="U27" s="450"/>
      <c r="V27" s="450"/>
      <c r="W27" s="450"/>
    </row>
    <row r="28" spans="1:23" ht="15.75" thickBot="1" x14ac:dyDescent="0.3">
      <c r="A28" s="437" t="s">
        <v>327</v>
      </c>
      <c r="B28" s="445">
        <v>0</v>
      </c>
      <c r="C28" s="437" t="s">
        <v>247</v>
      </c>
      <c r="D28" s="453">
        <f>ROUNDUP(D26,-2)</f>
        <v>-7100</v>
      </c>
      <c r="E28" s="453">
        <f>ROUNDUP(E26+E27,-2)</f>
        <v>-7100</v>
      </c>
      <c r="F28" s="453">
        <f t="shared" ref="F28:W28" si="124">ROUNDUP(F26+F27,-2)</f>
        <v>-7100</v>
      </c>
      <c r="G28" s="453">
        <f t="shared" si="124"/>
        <v>-7100</v>
      </c>
      <c r="H28" s="453">
        <f t="shared" si="124"/>
        <v>-7100</v>
      </c>
      <c r="I28" s="453">
        <f t="shared" si="124"/>
        <v>-7100</v>
      </c>
      <c r="J28" s="453">
        <f t="shared" si="124"/>
        <v>-7100</v>
      </c>
      <c r="K28" s="453">
        <f t="shared" si="124"/>
        <v>-7100</v>
      </c>
      <c r="L28" s="453">
        <f>ROUNDUP(D26+L27,-2)</f>
        <v>-7100</v>
      </c>
      <c r="M28" s="453">
        <f t="shared" si="124"/>
        <v>-7100</v>
      </c>
      <c r="N28" s="453">
        <f t="shared" si="124"/>
        <v>-7100</v>
      </c>
      <c r="O28" s="453">
        <f t="shared" si="124"/>
        <v>-7100</v>
      </c>
      <c r="P28" s="453">
        <f t="shared" si="124"/>
        <v>-7100</v>
      </c>
      <c r="Q28" s="453">
        <f t="shared" si="124"/>
        <v>-7100</v>
      </c>
      <c r="R28" s="453">
        <f t="shared" si="124"/>
        <v>-7100</v>
      </c>
      <c r="S28" s="453">
        <f t="shared" si="124"/>
        <v>-7100</v>
      </c>
      <c r="T28" s="453">
        <f t="shared" si="124"/>
        <v>-7100</v>
      </c>
      <c r="U28" s="453">
        <f t="shared" si="124"/>
        <v>-7100</v>
      </c>
      <c r="V28" s="453">
        <f t="shared" si="124"/>
        <v>-7100</v>
      </c>
      <c r="W28" s="453">
        <f t="shared" si="124"/>
        <v>-7100</v>
      </c>
    </row>
    <row r="29" spans="1:23" x14ac:dyDescent="0.25">
      <c r="A29" s="437" t="s">
        <v>248</v>
      </c>
      <c r="B29" s="438" t="s">
        <v>249</v>
      </c>
      <c r="C29" s="437" t="s">
        <v>250</v>
      </c>
      <c r="G29" s="455">
        <f>SUM(D28:G28)</f>
        <v>-28400</v>
      </c>
      <c r="K29" s="455">
        <f>SUM(H28:K28)</f>
        <v>-28400</v>
      </c>
      <c r="O29" s="455">
        <f>SUM(L28:O28)</f>
        <v>-28400</v>
      </c>
      <c r="S29" s="455">
        <f>SUM(P28:S28)</f>
        <v>-28400</v>
      </c>
      <c r="W29" s="455">
        <f>SUM(T28:W28)</f>
        <v>-28400</v>
      </c>
    </row>
    <row r="30" spans="1:23" ht="15.75" thickBot="1" x14ac:dyDescent="0.3">
      <c r="A30" s="437" t="s">
        <v>251</v>
      </c>
      <c r="B30" s="438" t="s">
        <v>249</v>
      </c>
      <c r="C30" s="472" t="s">
        <v>252</v>
      </c>
      <c r="D30" s="458"/>
      <c r="E30" s="458"/>
      <c r="F30" s="458"/>
      <c r="G30" s="458"/>
      <c r="H30" s="459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</row>
    <row r="31" spans="1:23" x14ac:dyDescent="0.25">
      <c r="A31" s="460" t="s">
        <v>253</v>
      </c>
      <c r="B31" s="461"/>
      <c r="C31" s="462">
        <f>-SUM(D27:G27)</f>
        <v>0</v>
      </c>
      <c r="D31" s="464" t="s">
        <v>254</v>
      </c>
      <c r="E31" s="464"/>
      <c r="F31" s="464"/>
      <c r="G31" s="465">
        <f>SUM(G29,K29,O29,S29,W29)</f>
        <v>-142000</v>
      </c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</row>
    <row r="32" spans="1:23" ht="15.75" thickBot="1" x14ac:dyDescent="0.3">
      <c r="A32" s="466" t="s">
        <v>255</v>
      </c>
      <c r="B32" s="467"/>
      <c r="C32" s="468">
        <f>-C31/36</f>
        <v>0</v>
      </c>
    </row>
  </sheetData>
  <mergeCells count="24">
    <mergeCell ref="D2:G2"/>
    <mergeCell ref="H2:K2"/>
    <mergeCell ref="L2:O2"/>
    <mergeCell ref="P2:S2"/>
    <mergeCell ref="T2:W2"/>
    <mergeCell ref="BT2:BW2"/>
    <mergeCell ref="AB2:AE2"/>
    <mergeCell ref="AF2:AI2"/>
    <mergeCell ref="AJ2:AM2"/>
    <mergeCell ref="AN2:AQ2"/>
    <mergeCell ref="AR2:AU2"/>
    <mergeCell ref="AV2:AY2"/>
    <mergeCell ref="BP2:BS2"/>
    <mergeCell ref="C16:C17"/>
    <mergeCell ref="D19:G19"/>
    <mergeCell ref="H19:K19"/>
    <mergeCell ref="L19:O19"/>
    <mergeCell ref="P19:S19"/>
    <mergeCell ref="T19:W19"/>
    <mergeCell ref="AZ2:BC2"/>
    <mergeCell ref="BD2:BG2"/>
    <mergeCell ref="BH2:BK2"/>
    <mergeCell ref="BL2:BO2"/>
    <mergeCell ref="X2:AA2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37"/>
  <sheetViews>
    <sheetView showGridLines="0" zoomScaleNormal="100" workbookViewId="0">
      <selection activeCell="B24" sqref="B24"/>
    </sheetView>
  </sheetViews>
  <sheetFormatPr baseColWidth="10" defaultColWidth="10.7109375" defaultRowHeight="15" customHeight="1" x14ac:dyDescent="0.25"/>
  <cols>
    <col min="1" max="1" width="28.7109375" customWidth="1"/>
    <col min="2" max="2" width="15.7109375" customWidth="1"/>
  </cols>
  <sheetData>
    <row r="1" spans="1:2" ht="15.75" customHeight="1" thickBot="1" x14ac:dyDescent="0.3">
      <c r="A1" s="383" t="s">
        <v>256</v>
      </c>
      <c r="B1" s="10" t="s">
        <v>31</v>
      </c>
    </row>
    <row r="2" spans="1:2" ht="15.75" customHeight="1" thickTop="1" x14ac:dyDescent="0.25">
      <c r="A2" s="12" t="s">
        <v>6</v>
      </c>
      <c r="B2" s="13">
        <f>'Plan de financement_input immo '!$B$4</f>
        <v>530000</v>
      </c>
    </row>
    <row r="3" spans="1:2" ht="15.75" customHeight="1" x14ac:dyDescent="0.25">
      <c r="A3" s="12" t="s">
        <v>9</v>
      </c>
      <c r="B3" s="13">
        <f>'Plan de financement_input immo '!B5</f>
        <v>35032.999999999993</v>
      </c>
    </row>
    <row r="4" spans="1:2" ht="15.75" customHeight="1" x14ac:dyDescent="0.25">
      <c r="A4" s="12" t="s">
        <v>334</v>
      </c>
      <c r="B4" s="13">
        <f>'Plan de financement_input immo '!B6</f>
        <v>30000</v>
      </c>
    </row>
    <row r="5" spans="1:2" ht="15.75" customHeight="1" x14ac:dyDescent="0.25">
      <c r="A5" s="12" t="s">
        <v>347</v>
      </c>
      <c r="B5" s="13">
        <f>'Plan de financement_input immo '!B7</f>
        <v>88000</v>
      </c>
    </row>
    <row r="6" spans="1:2" ht="15.75" customHeight="1" x14ac:dyDescent="0.25">
      <c r="A6" s="12" t="s">
        <v>335</v>
      </c>
      <c r="B6" s="13">
        <f>'Plan de financement_input immo '!B8</f>
        <v>100000</v>
      </c>
    </row>
    <row r="7" spans="1:2" ht="15.75" customHeight="1" x14ac:dyDescent="0.25">
      <c r="A7" s="12" t="s">
        <v>348</v>
      </c>
      <c r="B7" s="13">
        <f>'Plan de financement_input immo '!B9</f>
        <v>15000</v>
      </c>
    </row>
    <row r="8" spans="1:2" ht="15.75" customHeight="1" x14ac:dyDescent="0.25">
      <c r="A8" s="12" t="s">
        <v>311</v>
      </c>
      <c r="B8" s="13">
        <f>C59</f>
        <v>0</v>
      </c>
    </row>
    <row r="9" spans="1:2" x14ac:dyDescent="0.25">
      <c r="A9" s="12" t="s">
        <v>12</v>
      </c>
      <c r="B9" s="475">
        <f>'Plan de financement_input immo '!B11</f>
        <v>3432000</v>
      </c>
    </row>
    <row r="10" spans="1:2" x14ac:dyDescent="0.25">
      <c r="A10" s="12" t="s">
        <v>337</v>
      </c>
      <c r="B10" s="13">
        <f>'Plan de financement_input immo '!B12</f>
        <v>175600</v>
      </c>
    </row>
    <row r="11" spans="1:2" x14ac:dyDescent="0.25">
      <c r="A11" s="384" t="s">
        <v>70</v>
      </c>
      <c r="B11" s="37">
        <f>SUM(B2:B10)</f>
        <v>4405633</v>
      </c>
    </row>
    <row r="12" spans="1:2" x14ac:dyDescent="0.25">
      <c r="A12" s="384" t="s">
        <v>257</v>
      </c>
      <c r="B12" s="47">
        <v>15</v>
      </c>
    </row>
    <row r="13" spans="1:2" x14ac:dyDescent="0.25">
      <c r="A13" s="384" t="s">
        <v>353</v>
      </c>
      <c r="B13" s="47">
        <v>25</v>
      </c>
    </row>
    <row r="14" spans="1:2" x14ac:dyDescent="0.25">
      <c r="A14" s="384" t="s">
        <v>354</v>
      </c>
      <c r="B14" s="47">
        <v>7</v>
      </c>
    </row>
    <row r="15" spans="1:2" x14ac:dyDescent="0.25">
      <c r="A15" s="384" t="s">
        <v>356</v>
      </c>
      <c r="B15" s="385">
        <f>(100/B13)/100</f>
        <v>0.04</v>
      </c>
    </row>
    <row r="16" spans="1:2" x14ac:dyDescent="0.25">
      <c r="A16" s="384" t="s">
        <v>355</v>
      </c>
      <c r="B16" s="385">
        <f>(100/B14)/100</f>
        <v>0.14285714285714288</v>
      </c>
    </row>
    <row r="17" spans="1:2" x14ac:dyDescent="0.25">
      <c r="A17" s="384" t="s">
        <v>357</v>
      </c>
      <c r="B17" s="386">
        <f>SUM(B2,B3,B9,B10)*(B12*B15)</f>
        <v>2503579.7999999998</v>
      </c>
    </row>
    <row r="18" spans="1:2" x14ac:dyDescent="0.25">
      <c r="A18" s="384" t="s">
        <v>358</v>
      </c>
      <c r="B18" s="386">
        <f>SUM(B4,B6,B5)*(B14*B16)</f>
        <v>218000.00000000006</v>
      </c>
    </row>
    <row r="19" spans="1:2" x14ac:dyDescent="0.25">
      <c r="A19" s="384" t="s">
        <v>258</v>
      </c>
      <c r="B19" s="386">
        <f>B11-SUM(B17:B18)</f>
        <v>1684053.2000000002</v>
      </c>
    </row>
    <row r="20" spans="1:2" x14ac:dyDescent="0.25">
      <c r="A20" s="384" t="s">
        <v>259</v>
      </c>
      <c r="B20" s="37">
        <f ca="1">'Echéancier St Loup Naud'!BK7</f>
        <v>1095963.2166564998</v>
      </c>
    </row>
    <row r="21" spans="1:2" x14ac:dyDescent="0.25">
      <c r="A21" s="384" t="s">
        <v>260</v>
      </c>
      <c r="B21" s="37">
        <f>+SUM('Etat locatif prévi'!O4)</f>
        <v>571200</v>
      </c>
    </row>
    <row r="22" spans="1:2" x14ac:dyDescent="0.25">
      <c r="A22" s="384" t="s">
        <v>261</v>
      </c>
      <c r="B22" s="385">
        <f>'Analyse loyer triennalité 1 à 6'!D12</f>
        <v>1.4999999999999999E-2</v>
      </c>
    </row>
    <row r="23" spans="1:2" x14ac:dyDescent="0.25">
      <c r="A23" s="384" t="s">
        <v>262</v>
      </c>
      <c r="B23" s="37">
        <f>SUM('Analyse loyer triennalité 1 à 6'!BM42:BT42)</f>
        <v>1540316.3451225755</v>
      </c>
    </row>
    <row r="24" spans="1:2" x14ac:dyDescent="0.25">
      <c r="A24" s="384" t="s">
        <v>263</v>
      </c>
      <c r="B24" s="387">
        <v>0.1</v>
      </c>
    </row>
    <row r="25" spans="1:2" x14ac:dyDescent="0.25">
      <c r="A25" s="384" t="s">
        <v>264</v>
      </c>
      <c r="B25" s="37">
        <f>B23/B24</f>
        <v>15403163.451225754</v>
      </c>
    </row>
    <row r="26" spans="1:2" x14ac:dyDescent="0.25">
      <c r="A26" s="384" t="s">
        <v>265</v>
      </c>
      <c r="B26" s="386">
        <f>B25-SUM(B19)</f>
        <v>13719110.251225755</v>
      </c>
    </row>
    <row r="27" spans="1:2" x14ac:dyDescent="0.25">
      <c r="A27" s="384" t="s">
        <v>266</v>
      </c>
      <c r="B27" s="387">
        <v>0.25</v>
      </c>
    </row>
    <row r="28" spans="1:2" x14ac:dyDescent="0.25">
      <c r="A28" s="384" t="s">
        <v>267</v>
      </c>
      <c r="B28" s="386">
        <f>B26*B27</f>
        <v>3429777.5628064387</v>
      </c>
    </row>
    <row r="29" spans="1:2" x14ac:dyDescent="0.25">
      <c r="A29" s="388" t="s">
        <v>268</v>
      </c>
      <c r="B29" s="389">
        <f ca="1">SUM('Echéancier St Loup Naud'!BK7)</f>
        <v>1095963.2166564998</v>
      </c>
    </row>
    <row r="32" spans="1:2" ht="15.75" hidden="1" customHeight="1" x14ac:dyDescent="0.25">
      <c r="A32" s="383" t="s">
        <v>256</v>
      </c>
      <c r="B32" s="10" t="s">
        <v>31</v>
      </c>
    </row>
    <row r="33" spans="1:2" ht="15.75" hidden="1" customHeight="1" x14ac:dyDescent="0.25">
      <c r="A33" s="384" t="s">
        <v>269</v>
      </c>
      <c r="B33" s="386">
        <f ca="1">-'Plan de financement_input immo '!D4</f>
        <v>-1300000</v>
      </c>
    </row>
    <row r="34" spans="1:2" hidden="1" x14ac:dyDescent="0.25">
      <c r="A34" s="384" t="s">
        <v>270</v>
      </c>
      <c r="B34" s="387">
        <v>0.15</v>
      </c>
    </row>
    <row r="35" spans="1:2" hidden="1" x14ac:dyDescent="0.25">
      <c r="A35" s="384" t="s">
        <v>104</v>
      </c>
      <c r="B35" s="47">
        <v>15</v>
      </c>
    </row>
    <row r="36" spans="1:2" hidden="1" x14ac:dyDescent="0.25">
      <c r="A36" s="384" t="s">
        <v>271</v>
      </c>
      <c r="B36" s="390">
        <f>B34*B35</f>
        <v>2.25</v>
      </c>
    </row>
    <row r="37" spans="1:2" hidden="1" x14ac:dyDescent="0.25">
      <c r="A37" s="388" t="s">
        <v>272</v>
      </c>
      <c r="B37" s="389">
        <f ca="1">B33*B36</f>
        <v>-2925000</v>
      </c>
    </row>
  </sheetData>
  <printOptions horizontalCentered="1"/>
  <pageMargins left="0.70833333333333304" right="0.70833333333333304" top="0.74861111111111101" bottom="0.74861111111111101" header="0.31527777777777799" footer="0.31527777777777799"/>
  <pageSetup paperSize="9" orientation="portrait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29"/>
  <sheetViews>
    <sheetView showGridLines="0" zoomScaleNormal="100" workbookViewId="0">
      <selection activeCell="B24" sqref="B24"/>
    </sheetView>
  </sheetViews>
  <sheetFormatPr baseColWidth="10" defaultColWidth="10.7109375" defaultRowHeight="15" customHeight="1" x14ac:dyDescent="0.25"/>
  <cols>
    <col min="1" max="1" width="28.7109375" customWidth="1"/>
    <col min="2" max="2" width="22.42578125" customWidth="1"/>
    <col min="3" max="3" width="12.85546875" customWidth="1"/>
  </cols>
  <sheetData>
    <row r="1" spans="1:2" ht="15.75" customHeight="1" thickBot="1" x14ac:dyDescent="0.3">
      <c r="A1" s="383" t="s">
        <v>256</v>
      </c>
      <c r="B1" s="10" t="s">
        <v>31</v>
      </c>
    </row>
    <row r="2" spans="1:2" ht="15.75" customHeight="1" thickTop="1" x14ac:dyDescent="0.25">
      <c r="A2" s="12" t="s">
        <v>6</v>
      </c>
      <c r="B2" s="13">
        <f>'Plan de financement_input immo '!$B$4</f>
        <v>530000</v>
      </c>
    </row>
    <row r="3" spans="1:2" ht="15.75" customHeight="1" x14ac:dyDescent="0.25">
      <c r="A3" s="12" t="s">
        <v>9</v>
      </c>
      <c r="B3" s="13">
        <f>'Plan de financement_input immo '!B5</f>
        <v>35032.999999999993</v>
      </c>
    </row>
    <row r="4" spans="1:2" ht="15.75" customHeight="1" x14ac:dyDescent="0.25">
      <c r="A4" s="12" t="s">
        <v>334</v>
      </c>
      <c r="B4" s="13">
        <f>'Plan de financement_input immo '!B6</f>
        <v>30000</v>
      </c>
    </row>
    <row r="5" spans="1:2" ht="15.75" customHeight="1" x14ac:dyDescent="0.25">
      <c r="A5" s="12" t="s">
        <v>347</v>
      </c>
      <c r="B5" s="13">
        <f>'Plan de financement_input immo '!B7</f>
        <v>88000</v>
      </c>
    </row>
    <row r="6" spans="1:2" ht="15.75" customHeight="1" x14ac:dyDescent="0.25">
      <c r="A6" s="12" t="s">
        <v>335</v>
      </c>
      <c r="B6" s="13">
        <f>'Plan de financement_input immo '!B8</f>
        <v>100000</v>
      </c>
    </row>
    <row r="7" spans="1:2" ht="15.75" customHeight="1" x14ac:dyDescent="0.25">
      <c r="A7" s="12" t="s">
        <v>348</v>
      </c>
      <c r="B7" s="13">
        <f>'Plan de financement_input immo '!B9</f>
        <v>15000</v>
      </c>
    </row>
    <row r="8" spans="1:2" ht="15.75" customHeight="1" x14ac:dyDescent="0.25">
      <c r="A8" s="12" t="s">
        <v>311</v>
      </c>
      <c r="B8" s="13">
        <f>C59</f>
        <v>0</v>
      </c>
    </row>
    <row r="9" spans="1:2" x14ac:dyDescent="0.25">
      <c r="A9" s="12" t="s">
        <v>12</v>
      </c>
      <c r="B9" s="475">
        <f>'Plan de financement_input immo '!B11</f>
        <v>3432000</v>
      </c>
    </row>
    <row r="10" spans="1:2" x14ac:dyDescent="0.25">
      <c r="A10" s="12" t="s">
        <v>337</v>
      </c>
      <c r="B10" s="13">
        <f>'Plan de financement_input immo '!B12</f>
        <v>175600</v>
      </c>
    </row>
    <row r="11" spans="1:2" x14ac:dyDescent="0.25">
      <c r="A11" s="384" t="s">
        <v>70</v>
      </c>
      <c r="B11" s="37">
        <f>SUM(B2:B10)</f>
        <v>4405633</v>
      </c>
    </row>
    <row r="12" spans="1:2" x14ac:dyDescent="0.25">
      <c r="A12" s="384" t="s">
        <v>257</v>
      </c>
      <c r="B12" s="47">
        <v>10</v>
      </c>
    </row>
    <row r="13" spans="1:2" x14ac:dyDescent="0.25">
      <c r="A13" s="384" t="s">
        <v>353</v>
      </c>
      <c r="B13" s="47">
        <v>25</v>
      </c>
    </row>
    <row r="14" spans="1:2" x14ac:dyDescent="0.25">
      <c r="A14" s="384" t="s">
        <v>354</v>
      </c>
      <c r="B14" s="47">
        <v>7</v>
      </c>
    </row>
    <row r="15" spans="1:2" x14ac:dyDescent="0.25">
      <c r="A15" s="384" t="s">
        <v>356</v>
      </c>
      <c r="B15" s="385">
        <f>(100/B13)/100</f>
        <v>0.04</v>
      </c>
    </row>
    <row r="16" spans="1:2" x14ac:dyDescent="0.25">
      <c r="A16" s="384" t="s">
        <v>355</v>
      </c>
      <c r="B16" s="385">
        <f>(100/B14)/100</f>
        <v>0.14285714285714288</v>
      </c>
    </row>
    <row r="17" spans="1:2" x14ac:dyDescent="0.25">
      <c r="A17" s="384" t="s">
        <v>357</v>
      </c>
      <c r="B17" s="386">
        <f>SUM(B2,B3,B9,B10)*(B12*B15)</f>
        <v>1669053.2000000002</v>
      </c>
    </row>
    <row r="18" spans="1:2" x14ac:dyDescent="0.25">
      <c r="A18" s="384" t="s">
        <v>358</v>
      </c>
      <c r="B18" s="386">
        <f>SUM(B4,B6,B5)*(B14*B16)</f>
        <v>218000.00000000006</v>
      </c>
    </row>
    <row r="19" spans="1:2" x14ac:dyDescent="0.25">
      <c r="A19" s="384" t="s">
        <v>258</v>
      </c>
      <c r="B19" s="386">
        <f>B11-SUM(B17:B18)</f>
        <v>2518579.7999999998</v>
      </c>
    </row>
    <row r="20" spans="1:2" x14ac:dyDescent="0.25">
      <c r="A20" s="384" t="s">
        <v>259</v>
      </c>
      <c r="B20" s="37">
        <f ca="1">'Echéancier St Loup Naud'!AQ7</f>
        <v>1994153.8418676401</v>
      </c>
    </row>
    <row r="21" spans="1:2" x14ac:dyDescent="0.25">
      <c r="A21" s="384" t="s">
        <v>260</v>
      </c>
      <c r="B21" s="37">
        <f>+SUM('Etat locatif prévi'!O4)</f>
        <v>571200</v>
      </c>
    </row>
    <row r="22" spans="1:2" x14ac:dyDescent="0.25">
      <c r="A22" s="384" t="s">
        <v>261</v>
      </c>
      <c r="B22" s="385">
        <f>'Analyse loyer triennalité 1 à 6'!D12</f>
        <v>1.4999999999999999E-2</v>
      </c>
    </row>
    <row r="23" spans="1:2" x14ac:dyDescent="0.25">
      <c r="A23" s="384" t="s">
        <v>262</v>
      </c>
      <c r="B23" s="37">
        <f>SUM('Analyse loyer triennalité 1 à 6'!AW42:AZ42)</f>
        <v>730238.06578061788</v>
      </c>
    </row>
    <row r="24" spans="1:2" x14ac:dyDescent="0.25">
      <c r="A24" s="384" t="s">
        <v>263</v>
      </c>
      <c r="B24" s="387">
        <v>0.1</v>
      </c>
    </row>
    <row r="25" spans="1:2" x14ac:dyDescent="0.25">
      <c r="A25" s="384" t="s">
        <v>264</v>
      </c>
      <c r="B25" s="37">
        <f>B23/B24</f>
        <v>7302380.6578061786</v>
      </c>
    </row>
    <row r="26" spans="1:2" x14ac:dyDescent="0.25">
      <c r="A26" s="384" t="s">
        <v>265</v>
      </c>
      <c r="B26" s="386">
        <f>B25-SUM(B19)</f>
        <v>4783800.8578061787</v>
      </c>
    </row>
    <row r="27" spans="1:2" x14ac:dyDescent="0.25">
      <c r="A27" s="384" t="s">
        <v>266</v>
      </c>
      <c r="B27" s="387">
        <v>0.25</v>
      </c>
    </row>
    <row r="28" spans="1:2" x14ac:dyDescent="0.25">
      <c r="A28" s="384" t="s">
        <v>267</v>
      </c>
      <c r="B28" s="386">
        <f>B26*B27</f>
        <v>1195950.2144515447</v>
      </c>
    </row>
    <row r="29" spans="1:2" x14ac:dyDescent="0.25">
      <c r="A29" s="388" t="s">
        <v>268</v>
      </c>
      <c r="B29" s="389">
        <f ca="1">SUM('Echéancier St Loup Naud'!BK7)</f>
        <v>1095963.2166564998</v>
      </c>
    </row>
  </sheetData>
  <printOptions horizontalCentered="1"/>
  <pageMargins left="0.70833333333333304" right="0.70833333333333304" top="0.74861111111111101" bottom="0.74861111111111101" header="0.31527777777777799" footer="0.31527777777777799"/>
  <pageSetup paperSize="9" orientation="portrait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29"/>
  <sheetViews>
    <sheetView showGridLines="0" zoomScaleNormal="100" workbookViewId="0">
      <selection activeCell="B24" sqref="B24"/>
    </sheetView>
  </sheetViews>
  <sheetFormatPr baseColWidth="10" defaultColWidth="10.7109375" defaultRowHeight="15" customHeight="1" x14ac:dyDescent="0.25"/>
  <cols>
    <col min="1" max="1" width="28.7109375" customWidth="1"/>
    <col min="2" max="2" width="15.7109375" customWidth="1"/>
  </cols>
  <sheetData>
    <row r="1" spans="1:2" ht="15.75" customHeight="1" thickBot="1" x14ac:dyDescent="0.3">
      <c r="A1" s="383" t="s">
        <v>256</v>
      </c>
      <c r="B1" s="10" t="s">
        <v>31</v>
      </c>
    </row>
    <row r="2" spans="1:2" ht="15.75" customHeight="1" thickTop="1" x14ac:dyDescent="0.25">
      <c r="A2" s="12" t="s">
        <v>6</v>
      </c>
      <c r="B2" s="13">
        <f>'Plan de financement_input immo '!$B$4</f>
        <v>530000</v>
      </c>
    </row>
    <row r="3" spans="1:2" ht="15.75" customHeight="1" x14ac:dyDescent="0.25">
      <c r="A3" s="12" t="s">
        <v>9</v>
      </c>
      <c r="B3" s="13">
        <f>'Plan de financement_input immo '!B5</f>
        <v>35032.999999999993</v>
      </c>
    </row>
    <row r="4" spans="1:2" ht="15.75" customHeight="1" x14ac:dyDescent="0.25">
      <c r="A4" s="12" t="s">
        <v>334</v>
      </c>
      <c r="B4" s="13">
        <f>'Plan de financement_input immo '!B6</f>
        <v>30000</v>
      </c>
    </row>
    <row r="5" spans="1:2" ht="15.75" customHeight="1" x14ac:dyDescent="0.25">
      <c r="A5" s="12" t="s">
        <v>347</v>
      </c>
      <c r="B5" s="13">
        <f>'Plan de financement_input immo '!B7</f>
        <v>88000</v>
      </c>
    </row>
    <row r="6" spans="1:2" ht="15.75" customHeight="1" x14ac:dyDescent="0.25">
      <c r="A6" s="12" t="s">
        <v>335</v>
      </c>
      <c r="B6" s="13">
        <f>'Plan de financement_input immo '!B8</f>
        <v>100000</v>
      </c>
    </row>
    <row r="7" spans="1:2" ht="15.75" customHeight="1" x14ac:dyDescent="0.25">
      <c r="A7" s="12" t="s">
        <v>348</v>
      </c>
      <c r="B7" s="13">
        <f>'Plan de financement_input immo '!B9</f>
        <v>15000</v>
      </c>
    </row>
    <row r="8" spans="1:2" ht="15.75" customHeight="1" x14ac:dyDescent="0.25">
      <c r="A8" s="12" t="s">
        <v>311</v>
      </c>
      <c r="B8" s="13">
        <f>C59</f>
        <v>0</v>
      </c>
    </row>
    <row r="9" spans="1:2" x14ac:dyDescent="0.25">
      <c r="A9" s="12" t="s">
        <v>12</v>
      </c>
      <c r="B9" s="475">
        <f>'Plan de financement_input immo '!B11</f>
        <v>3432000</v>
      </c>
    </row>
    <row r="10" spans="1:2" x14ac:dyDescent="0.25">
      <c r="A10" s="12" t="s">
        <v>337</v>
      </c>
      <c r="B10" s="13">
        <f>'Plan de financement_input immo '!B12</f>
        <v>175600</v>
      </c>
    </row>
    <row r="11" spans="1:2" x14ac:dyDescent="0.25">
      <c r="A11" s="384" t="s">
        <v>70</v>
      </c>
      <c r="B11" s="37">
        <f>SUM(B2:B10)</f>
        <v>4405633</v>
      </c>
    </row>
    <row r="12" spans="1:2" x14ac:dyDescent="0.25">
      <c r="A12" s="384" t="s">
        <v>257</v>
      </c>
      <c r="B12" s="47">
        <v>15</v>
      </c>
    </row>
    <row r="13" spans="1:2" x14ac:dyDescent="0.25">
      <c r="A13" s="384" t="s">
        <v>353</v>
      </c>
      <c r="B13" s="47">
        <v>25</v>
      </c>
    </row>
    <row r="14" spans="1:2" x14ac:dyDescent="0.25">
      <c r="A14" s="384" t="s">
        <v>354</v>
      </c>
      <c r="B14" s="47">
        <v>7</v>
      </c>
    </row>
    <row r="15" spans="1:2" x14ac:dyDescent="0.25">
      <c r="A15" s="384" t="s">
        <v>356</v>
      </c>
      <c r="B15" s="385">
        <f>(100/B13)/100</f>
        <v>0.04</v>
      </c>
    </row>
    <row r="16" spans="1:2" x14ac:dyDescent="0.25">
      <c r="A16" s="384" t="s">
        <v>355</v>
      </c>
      <c r="B16" s="385">
        <f>(100/B14)/100</f>
        <v>0.14285714285714288</v>
      </c>
    </row>
    <row r="17" spans="1:2" x14ac:dyDescent="0.25">
      <c r="A17" s="384" t="s">
        <v>357</v>
      </c>
      <c r="B17" s="386">
        <f>SUM(B2,B3,B9,B10)*(B12*B15)</f>
        <v>2503579.7999999998</v>
      </c>
    </row>
    <row r="18" spans="1:2" x14ac:dyDescent="0.25">
      <c r="A18" s="384" t="s">
        <v>358</v>
      </c>
      <c r="B18" s="386">
        <f>SUM(B4,B6,B5)*(B14*B16)</f>
        <v>218000.00000000006</v>
      </c>
    </row>
    <row r="19" spans="1:2" x14ac:dyDescent="0.25">
      <c r="A19" s="384" t="s">
        <v>258</v>
      </c>
      <c r="B19" s="386">
        <f>B11-SUM(B17:B18)</f>
        <v>1684053.2000000002</v>
      </c>
    </row>
    <row r="20" spans="1:2" x14ac:dyDescent="0.25">
      <c r="A20" s="384" t="s">
        <v>259</v>
      </c>
      <c r="B20" s="37">
        <f ca="1">'Echéancier St Loup Naud'!BK7</f>
        <v>1095963.2166564998</v>
      </c>
    </row>
    <row r="21" spans="1:2" x14ac:dyDescent="0.25">
      <c r="A21" s="384" t="s">
        <v>260</v>
      </c>
      <c r="B21" s="37">
        <f>+SUM('Etat locatif prévi'!O4)</f>
        <v>571200</v>
      </c>
    </row>
    <row r="22" spans="1:2" x14ac:dyDescent="0.25">
      <c r="A22" s="384" t="s">
        <v>261</v>
      </c>
      <c r="B22" s="385">
        <f>'Analyse loyer triennalité 1 à 6'!D12</f>
        <v>1.4999999999999999E-2</v>
      </c>
    </row>
    <row r="23" spans="1:2" x14ac:dyDescent="0.25">
      <c r="A23" s="384" t="s">
        <v>262</v>
      </c>
      <c r="B23" s="37">
        <f>SUM('Analyse loyer triennalité 1 à 6'!AC42:AF42)</f>
        <v>673121.4831228496</v>
      </c>
    </row>
    <row r="24" spans="1:2" x14ac:dyDescent="0.25">
      <c r="A24" s="384" t="s">
        <v>263</v>
      </c>
      <c r="B24" s="387">
        <v>0.1</v>
      </c>
    </row>
    <row r="25" spans="1:2" x14ac:dyDescent="0.25">
      <c r="A25" s="384" t="s">
        <v>264</v>
      </c>
      <c r="B25" s="37">
        <f>B23/B24</f>
        <v>6731214.8312284956</v>
      </c>
    </row>
    <row r="26" spans="1:2" x14ac:dyDescent="0.25">
      <c r="A26" s="384" t="s">
        <v>265</v>
      </c>
      <c r="B26" s="386">
        <f>B25-SUM(B19)</f>
        <v>5047161.6312284954</v>
      </c>
    </row>
    <row r="27" spans="1:2" x14ac:dyDescent="0.25">
      <c r="A27" s="384" t="s">
        <v>266</v>
      </c>
      <c r="B27" s="387">
        <v>0.25</v>
      </c>
    </row>
    <row r="28" spans="1:2" x14ac:dyDescent="0.25">
      <c r="A28" s="384" t="s">
        <v>267</v>
      </c>
      <c r="B28" s="386">
        <f>B26*B27</f>
        <v>1261790.4078071238</v>
      </c>
    </row>
    <row r="29" spans="1:2" x14ac:dyDescent="0.25">
      <c r="A29" s="388" t="s">
        <v>268</v>
      </c>
      <c r="B29" s="389">
        <f ca="1">SUM('Echéancier St Loup Naud'!BK7)</f>
        <v>1095963.2166564998</v>
      </c>
    </row>
  </sheetData>
  <printOptions horizontalCentered="1"/>
  <pageMargins left="0.70833333333333304" right="0.70833333333333304" top="0.74861111111111101" bottom="0.74861111111111101" header="0.31527777777777799" footer="0.31527777777777799"/>
  <pageSetup paperSize="9" orientation="portrait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3"/>
  <sheetViews>
    <sheetView showGridLines="0" zoomScaleNormal="100" workbookViewId="0">
      <selection activeCell="N21" sqref="N21"/>
    </sheetView>
  </sheetViews>
  <sheetFormatPr baseColWidth="10" defaultColWidth="10.7109375" defaultRowHeight="15" customHeight="1" x14ac:dyDescent="0.25"/>
  <cols>
    <col min="1" max="1" width="19.7109375" customWidth="1"/>
    <col min="2" max="2" width="12.7109375" customWidth="1"/>
    <col min="3" max="3" width="19.7109375" customWidth="1"/>
    <col min="4" max="5" width="11.7109375" customWidth="1"/>
    <col min="6" max="6" width="19.7109375" customWidth="1"/>
    <col min="7" max="7" width="11.7109375" customWidth="1"/>
    <col min="8" max="8" width="19.7109375" customWidth="1"/>
    <col min="9" max="10" width="12" customWidth="1"/>
    <col min="11" max="11" width="19.7109375" customWidth="1"/>
    <col min="12" max="12" width="11.7109375" customWidth="1"/>
    <col min="13" max="13" width="19.7109375" customWidth="1"/>
    <col min="14" max="15" width="12" customWidth="1"/>
  </cols>
  <sheetData>
    <row r="1" spans="1:15" x14ac:dyDescent="0.25">
      <c r="A1" s="476" t="s">
        <v>273</v>
      </c>
      <c r="B1" s="476"/>
      <c r="C1" s="476"/>
      <c r="D1" s="476"/>
      <c r="E1" s="391" t="s">
        <v>34</v>
      </c>
      <c r="F1" s="477" t="s">
        <v>274</v>
      </c>
      <c r="G1" s="477"/>
      <c r="H1" s="477"/>
      <c r="I1" s="477"/>
      <c r="J1" s="392" t="s">
        <v>34</v>
      </c>
      <c r="K1" s="478" t="s">
        <v>275</v>
      </c>
      <c r="L1" s="478"/>
      <c r="M1" s="478"/>
      <c r="N1" s="478"/>
      <c r="O1" s="393" t="s">
        <v>34</v>
      </c>
    </row>
    <row r="2" spans="1:15" x14ac:dyDescent="0.25">
      <c r="A2" s="394" t="s">
        <v>276</v>
      </c>
      <c r="B2" s="395">
        <v>0</v>
      </c>
      <c r="C2" s="396" t="s">
        <v>277</v>
      </c>
      <c r="D2" s="397">
        <f ca="1">-'Plan de financement_input immo '!$B$30</f>
        <v>-4879724.3407707913</v>
      </c>
      <c r="E2" s="395"/>
      <c r="F2" s="398" t="s">
        <v>276</v>
      </c>
      <c r="G2" s="399">
        <v>0</v>
      </c>
      <c r="H2" s="400" t="s">
        <v>277</v>
      </c>
      <c r="I2" s="401">
        <f ca="1">-'Plan de financement_input immo '!$B$30</f>
        <v>-4879724.3407707913</v>
      </c>
      <c r="J2" s="402"/>
      <c r="K2" s="403" t="s">
        <v>276</v>
      </c>
      <c r="L2" s="404">
        <v>0</v>
      </c>
      <c r="M2" s="403" t="s">
        <v>277</v>
      </c>
      <c r="N2" s="405">
        <f ca="1">-'Plan de financement_input immo '!$B$30</f>
        <v>-4879724.3407707913</v>
      </c>
      <c r="O2" s="405"/>
    </row>
    <row r="3" spans="1:15" x14ac:dyDescent="0.25">
      <c r="A3" s="406" t="s">
        <v>278</v>
      </c>
      <c r="B3" s="395"/>
      <c r="C3" s="396"/>
      <c r="D3" s="397"/>
      <c r="E3" s="395">
        <f ca="1">SUM($B$2,$D$2)</f>
        <v>-4879724.3407707913</v>
      </c>
      <c r="F3" s="407" t="str">
        <f t="shared" ref="F3:F13" si="0">A3</f>
        <v xml:space="preserve">Total investissement </v>
      </c>
      <c r="G3" s="399"/>
      <c r="H3" s="400"/>
      <c r="I3" s="401"/>
      <c r="J3" s="402">
        <f ca="1">SUM(G2,I2)</f>
        <v>-4879724.3407707913</v>
      </c>
      <c r="K3" s="403" t="str">
        <f t="shared" ref="K3:K8" si="1">A3</f>
        <v xml:space="preserve">Total investissement </v>
      </c>
      <c r="L3" s="404"/>
      <c r="M3" s="403"/>
      <c r="N3" s="405"/>
      <c r="O3" s="405">
        <f ca="1">SUM(L2,N2)</f>
        <v>-4879724.3407707913</v>
      </c>
    </row>
    <row r="4" spans="1:15" x14ac:dyDescent="0.25">
      <c r="A4" s="406" t="s">
        <v>279</v>
      </c>
      <c r="B4" s="395">
        <f ca="1">SUM('Echéancier St Loup Naud'!D11:G11,'Echéancier St Loup Naud'!D28:G28)</f>
        <v>-139900</v>
      </c>
      <c r="C4" s="396" t="s">
        <v>280</v>
      </c>
      <c r="D4" s="397">
        <f>SUM('Analyse loyer triennalité 1 à 6'!E38:H38)</f>
        <v>0</v>
      </c>
      <c r="E4" s="395">
        <f t="shared" ref="E4:E15" ca="1" si="2">SUM(B4,D4)</f>
        <v>-139900</v>
      </c>
      <c r="F4" s="407" t="str">
        <f t="shared" si="0"/>
        <v>Charge d'emprunt A1</v>
      </c>
      <c r="G4" s="399">
        <f t="shared" ref="G4:G13" ca="1" si="3">B4</f>
        <v>-139900</v>
      </c>
      <c r="H4" s="400" t="s">
        <v>280</v>
      </c>
      <c r="I4" s="401">
        <f t="shared" ref="I4:I13" si="4">D4</f>
        <v>0</v>
      </c>
      <c r="J4" s="402">
        <f t="shared" ref="J4:J13" ca="1" si="5">SUM(G4,I4)</f>
        <v>-139900</v>
      </c>
      <c r="K4" s="403" t="str">
        <f t="shared" si="1"/>
        <v>Charge d'emprunt A1</v>
      </c>
      <c r="L4" s="404">
        <f ca="1">B4</f>
        <v>-139900</v>
      </c>
      <c r="M4" s="403" t="s">
        <v>280</v>
      </c>
      <c r="N4" s="405">
        <f>D4</f>
        <v>0</v>
      </c>
      <c r="O4" s="405">
        <f ca="1">SUM(L4,N4)</f>
        <v>-139900</v>
      </c>
    </row>
    <row r="5" spans="1:15" x14ac:dyDescent="0.25">
      <c r="A5" s="406" t="s">
        <v>281</v>
      </c>
      <c r="B5" s="395">
        <f>SUM('Echéancier St Loup Naud'!H11:K11,'Echéancier St Loup Naud'!H28:K28)</f>
        <v>-135600</v>
      </c>
      <c r="C5" s="396" t="s">
        <v>282</v>
      </c>
      <c r="D5" s="397">
        <f>SUM('Analyse loyer triennalité 1 à 6'!I38:L38)</f>
        <v>0</v>
      </c>
      <c r="E5" s="395">
        <f t="shared" si="2"/>
        <v>-135600</v>
      </c>
      <c r="F5" s="407" t="str">
        <f t="shared" si="0"/>
        <v>Charge d'emprunt A2</v>
      </c>
      <c r="G5" s="399">
        <f t="shared" si="3"/>
        <v>-135600</v>
      </c>
      <c r="H5" s="400" t="s">
        <v>282</v>
      </c>
      <c r="I5" s="401">
        <f t="shared" si="4"/>
        <v>0</v>
      </c>
      <c r="J5" s="402">
        <f t="shared" si="5"/>
        <v>-135600</v>
      </c>
      <c r="K5" s="403" t="str">
        <f t="shared" si="1"/>
        <v>Charge d'emprunt A2</v>
      </c>
      <c r="L5" s="404">
        <f>B5</f>
        <v>-135600</v>
      </c>
      <c r="M5" s="403" t="s">
        <v>282</v>
      </c>
      <c r="N5" s="405">
        <f>D5</f>
        <v>0</v>
      </c>
      <c r="O5" s="405">
        <f>SUM(L5,N5)</f>
        <v>-135600</v>
      </c>
    </row>
    <row r="6" spans="1:15" x14ac:dyDescent="0.25">
      <c r="A6" s="406" t="s">
        <v>283</v>
      </c>
      <c r="B6" s="395">
        <f ca="1">SUM('Echéancier St Loup Naud'!L9:O9,'Echéancier St Loup Naud'!L26:O26)</f>
        <v>-271028.52411411592</v>
      </c>
      <c r="C6" s="396" t="s">
        <v>284</v>
      </c>
      <c r="D6" s="397">
        <f>SUM('Analyse loyer triennalité 1 à 6'!M38:P38)</f>
        <v>571200</v>
      </c>
      <c r="E6" s="395">
        <f t="shared" ca="1" si="2"/>
        <v>300171.47588588408</v>
      </c>
      <c r="F6" s="407" t="str">
        <f t="shared" si="0"/>
        <v>Charge d'emprunt A3</v>
      </c>
      <c r="G6" s="399">
        <f t="shared" ca="1" si="3"/>
        <v>-271028.52411411592</v>
      </c>
      <c r="H6" s="400" t="s">
        <v>284</v>
      </c>
      <c r="I6" s="401">
        <f t="shared" si="4"/>
        <v>571200</v>
      </c>
      <c r="J6" s="402">
        <f t="shared" ca="1" si="5"/>
        <v>300171.47588588408</v>
      </c>
      <c r="K6" s="403" t="str">
        <f t="shared" si="1"/>
        <v>Charge d'emprunt A3</v>
      </c>
      <c r="L6" s="404">
        <f ca="1">B6</f>
        <v>-271028.52411411592</v>
      </c>
      <c r="M6" s="403" t="s">
        <v>284</v>
      </c>
      <c r="N6" s="405">
        <f>D6</f>
        <v>571200</v>
      </c>
      <c r="O6" s="405">
        <f ca="1">SUM(L6,N6)</f>
        <v>300171.47588588408</v>
      </c>
    </row>
    <row r="7" spans="1:15" x14ac:dyDescent="0.25">
      <c r="A7" s="406" t="s">
        <v>285</v>
      </c>
      <c r="B7" s="395">
        <f ca="1">SUM('Echéancier St Loup Naud'!P9:S9,'Echéancier St Loup Naud'!P26:S26)</f>
        <v>-271028.52411411592</v>
      </c>
      <c r="C7" s="396" t="s">
        <v>286</v>
      </c>
      <c r="D7" s="397">
        <f>SUM('Analyse loyer triennalité 1 à 6'!Q38:T38)</f>
        <v>579768</v>
      </c>
      <c r="E7" s="395">
        <f t="shared" ca="1" si="2"/>
        <v>308739.47588588408</v>
      </c>
      <c r="F7" s="407" t="str">
        <f t="shared" si="0"/>
        <v>Charge d'emprunt A4</v>
      </c>
      <c r="G7" s="399">
        <f t="shared" ca="1" si="3"/>
        <v>-271028.52411411592</v>
      </c>
      <c r="H7" s="400" t="s">
        <v>286</v>
      </c>
      <c r="I7" s="401">
        <f t="shared" si="4"/>
        <v>579768</v>
      </c>
      <c r="J7" s="402">
        <f t="shared" ca="1" si="5"/>
        <v>308739.47588588408</v>
      </c>
      <c r="K7" s="403" t="str">
        <f t="shared" si="1"/>
        <v>Charge d'emprunt A4</v>
      </c>
      <c r="L7" s="404">
        <f ca="1">B7</f>
        <v>-271028.52411411592</v>
      </c>
      <c r="M7" s="403" t="s">
        <v>286</v>
      </c>
      <c r="N7" s="405">
        <f>D7</f>
        <v>579768</v>
      </c>
      <c r="O7" s="405">
        <f ca="1">SUM(L7,N7)</f>
        <v>308739.47588588408</v>
      </c>
    </row>
    <row r="8" spans="1:15" x14ac:dyDescent="0.25">
      <c r="A8" s="406" t="s">
        <v>287</v>
      </c>
      <c r="B8" s="395">
        <f ca="1">SUM('Echéancier St Loup Naud'!T9:W9,'Echéancier St Loup Naud'!T28:W28)</f>
        <v>-271332.59550555685</v>
      </c>
      <c r="C8" s="396" t="s">
        <v>288</v>
      </c>
      <c r="D8" s="397">
        <f>SUM('Analyse loyer triennalité 1 à 6'!U38:X38)</f>
        <v>588464.51999999979</v>
      </c>
      <c r="E8" s="395">
        <f t="shared" ca="1" si="2"/>
        <v>317131.92449444294</v>
      </c>
      <c r="F8" s="407" t="str">
        <f t="shared" si="0"/>
        <v>Charge d'emprunt A5</v>
      </c>
      <c r="G8" s="399">
        <f t="shared" ca="1" si="3"/>
        <v>-271332.59550555685</v>
      </c>
      <c r="H8" s="400" t="s">
        <v>288</v>
      </c>
      <c r="I8" s="401">
        <f t="shared" si="4"/>
        <v>588464.51999999979</v>
      </c>
      <c r="J8" s="402">
        <f t="shared" ca="1" si="5"/>
        <v>317131.92449444294</v>
      </c>
      <c r="K8" s="403" t="str">
        <f t="shared" si="1"/>
        <v>Charge d'emprunt A5</v>
      </c>
      <c r="L8" s="404">
        <f ca="1">B8</f>
        <v>-271332.59550555685</v>
      </c>
      <c r="M8" s="403" t="s">
        <v>288</v>
      </c>
      <c r="N8" s="405">
        <f>D8</f>
        <v>588464.51999999979</v>
      </c>
      <c r="O8" s="405">
        <f ca="1">SUM(L8,N8)</f>
        <v>317131.92449444294</v>
      </c>
    </row>
    <row r="9" spans="1:15" x14ac:dyDescent="0.25">
      <c r="A9" s="406" t="s">
        <v>289</v>
      </c>
      <c r="B9" s="395">
        <f ca="1">B8</f>
        <v>-271332.59550555685</v>
      </c>
      <c r="C9" s="396" t="s">
        <v>290</v>
      </c>
      <c r="D9" s="397">
        <f>SUM('Analyse loyer triennalité 1 à 6'!Y38:AB38)</f>
        <v>597291.48779999977</v>
      </c>
      <c r="E9" s="395">
        <f t="shared" ca="1" si="2"/>
        <v>325958.89229444292</v>
      </c>
      <c r="F9" s="407" t="str">
        <f t="shared" si="0"/>
        <v>Charge d'emprunt A6</v>
      </c>
      <c r="G9" s="399">
        <f t="shared" ca="1" si="3"/>
        <v>-271332.59550555685</v>
      </c>
      <c r="H9" s="400" t="s">
        <v>290</v>
      </c>
      <c r="I9" s="401">
        <f t="shared" si="4"/>
        <v>597291.48779999977</v>
      </c>
      <c r="J9" s="402">
        <f t="shared" ca="1" si="5"/>
        <v>325958.89229444292</v>
      </c>
      <c r="K9" s="403"/>
      <c r="L9" s="404"/>
      <c r="M9" s="403"/>
      <c r="N9" s="405"/>
      <c r="O9" s="405"/>
    </row>
    <row r="10" spans="1:15" x14ac:dyDescent="0.25">
      <c r="A10" s="406" t="s">
        <v>291</v>
      </c>
      <c r="B10" s="395">
        <f ca="1">SUM('Echéancier St Loup Naud'!AB9:AE9,'Echéancier St Loup Naud'!P26:S26)</f>
        <v>-271028.52411411592</v>
      </c>
      <c r="C10" s="396" t="s">
        <v>292</v>
      </c>
      <c r="D10" s="397">
        <f>SUM('Analyse loyer triennalité 1 à 6'!AC38:AF38)</f>
        <v>606250.86011699971</v>
      </c>
      <c r="E10" s="395">
        <f t="shared" ca="1" si="2"/>
        <v>335222.33600288379</v>
      </c>
      <c r="F10" s="407" t="str">
        <f t="shared" si="0"/>
        <v>Charge d'emprunt A7</v>
      </c>
      <c r="G10" s="399">
        <f t="shared" ca="1" si="3"/>
        <v>-271028.52411411592</v>
      </c>
      <c r="H10" s="400" t="s">
        <v>292</v>
      </c>
      <c r="I10" s="401">
        <f t="shared" si="4"/>
        <v>606250.86011699971</v>
      </c>
      <c r="J10" s="402">
        <f t="shared" ca="1" si="5"/>
        <v>335222.33600288379</v>
      </c>
      <c r="K10" s="403"/>
      <c r="L10" s="404"/>
      <c r="M10" s="403"/>
      <c r="N10" s="405"/>
      <c r="O10" s="405"/>
    </row>
    <row r="11" spans="1:15" x14ac:dyDescent="0.25">
      <c r="A11" s="406" t="s">
        <v>293</v>
      </c>
      <c r="B11" s="395">
        <f ca="1">SUM('Echéancier St Loup Naud'!AF9:AI9)</f>
        <v>-242932.59550555685</v>
      </c>
      <c r="C11" s="396" t="s">
        <v>294</v>
      </c>
      <c r="D11" s="397">
        <f>SUM('Analyse loyer triennalité 1 à 6'!AG38:AJ38)</f>
        <v>615344.62301875465</v>
      </c>
      <c r="E11" s="395">
        <f t="shared" ca="1" si="2"/>
        <v>372412.0275131978</v>
      </c>
      <c r="F11" s="407" t="str">
        <f t="shared" si="0"/>
        <v>Charge d'emprunt A8</v>
      </c>
      <c r="G11" s="399">
        <f t="shared" ca="1" si="3"/>
        <v>-242932.59550555685</v>
      </c>
      <c r="H11" s="400" t="s">
        <v>294</v>
      </c>
      <c r="I11" s="401">
        <f t="shared" si="4"/>
        <v>615344.62301875465</v>
      </c>
      <c r="J11" s="402">
        <f t="shared" ca="1" si="5"/>
        <v>372412.0275131978</v>
      </c>
      <c r="K11" s="403"/>
      <c r="L11" s="404"/>
      <c r="M11" s="403"/>
      <c r="N11" s="405"/>
      <c r="O11" s="405"/>
    </row>
    <row r="12" spans="1:15" x14ac:dyDescent="0.25">
      <c r="A12" s="406" t="s">
        <v>295</v>
      </c>
      <c r="B12" s="395">
        <f ca="1">SUM('Echéancier St Loup Naud'!AJ9:AM9)</f>
        <v>-242932.59550555685</v>
      </c>
      <c r="C12" s="396" t="s">
        <v>296</v>
      </c>
      <c r="D12" s="397">
        <f>SUM('Analyse loyer triennalité 1 à 6'!AK38:AN38)</f>
        <v>624574.79236403573</v>
      </c>
      <c r="E12" s="395">
        <f t="shared" ca="1" si="2"/>
        <v>381642.19685847888</v>
      </c>
      <c r="F12" s="407" t="str">
        <f t="shared" si="0"/>
        <v>Charge d'emprunt A9</v>
      </c>
      <c r="G12" s="399">
        <f t="shared" ca="1" si="3"/>
        <v>-242932.59550555685</v>
      </c>
      <c r="H12" s="400" t="s">
        <v>296</v>
      </c>
      <c r="I12" s="401">
        <f t="shared" si="4"/>
        <v>624574.79236403573</v>
      </c>
      <c r="J12" s="402">
        <f t="shared" ca="1" si="5"/>
        <v>381642.19685847888</v>
      </c>
      <c r="K12" s="403"/>
      <c r="L12" s="404"/>
      <c r="M12" s="403"/>
      <c r="N12" s="405"/>
      <c r="O12" s="405"/>
    </row>
    <row r="13" spans="1:15" x14ac:dyDescent="0.25">
      <c r="A13" s="406" t="s">
        <v>297</v>
      </c>
      <c r="B13" s="395">
        <f ca="1">SUM('Echéancier St Loup Naud'!AN9:AQ9)</f>
        <v>-242932.59550555685</v>
      </c>
      <c r="C13" s="396" t="s">
        <v>298</v>
      </c>
      <c r="D13" s="397">
        <f>SUM('Analyse loyer triennalité 1 à 6'!AO38:AR38)</f>
        <v>633943.41424949619</v>
      </c>
      <c r="E13" s="395">
        <f t="shared" ca="1" si="2"/>
        <v>391010.81874393934</v>
      </c>
      <c r="F13" s="407" t="str">
        <f t="shared" si="0"/>
        <v>Charge d'emprunt A10</v>
      </c>
      <c r="G13" s="399">
        <f t="shared" ca="1" si="3"/>
        <v>-242932.59550555685</v>
      </c>
      <c r="H13" s="400" t="s">
        <v>298</v>
      </c>
      <c r="I13" s="401">
        <f t="shared" si="4"/>
        <v>633943.41424949619</v>
      </c>
      <c r="J13" s="402">
        <f t="shared" ca="1" si="5"/>
        <v>391010.81874393934</v>
      </c>
      <c r="K13" s="403"/>
      <c r="L13" s="404"/>
      <c r="M13" s="403"/>
      <c r="N13" s="405"/>
      <c r="O13" s="405"/>
    </row>
    <row r="14" spans="1:15" x14ac:dyDescent="0.25">
      <c r="A14" s="406" t="s">
        <v>299</v>
      </c>
      <c r="B14" s="395">
        <f ca="1">B13</f>
        <v>-242932.59550555685</v>
      </c>
      <c r="C14" s="396" t="s">
        <v>300</v>
      </c>
      <c r="D14" s="397">
        <f>SUM('Analyse loyer triennalité 1 à 6'!AS38:AV38)</f>
        <v>643452.56546323863</v>
      </c>
      <c r="E14" s="395">
        <f t="shared" ca="1" si="2"/>
        <v>400519.96995768178</v>
      </c>
      <c r="F14" s="407"/>
      <c r="G14" s="399"/>
      <c r="H14" s="400"/>
      <c r="I14" s="401"/>
      <c r="J14" s="402"/>
      <c r="K14" s="403"/>
      <c r="L14" s="404"/>
      <c r="M14" s="403"/>
      <c r="N14" s="405"/>
      <c r="O14" s="405"/>
    </row>
    <row r="15" spans="1:15" x14ac:dyDescent="0.25">
      <c r="A15" s="406" t="s">
        <v>301</v>
      </c>
      <c r="B15" s="395">
        <f ca="1">SUM('Echéancier St Loup Naud'!AV9:AY9)</f>
        <v>-242932.59550555685</v>
      </c>
      <c r="C15" s="396" t="s">
        <v>302</v>
      </c>
      <c r="D15" s="397">
        <f>SUM('Analyse loyer triennalité 1 à 6'!AW38:AZ38)</f>
        <v>653104.35394518706</v>
      </c>
      <c r="E15" s="395">
        <f t="shared" ca="1" si="2"/>
        <v>410171.75843963021</v>
      </c>
      <c r="F15" s="407"/>
      <c r="G15" s="399"/>
      <c r="H15" s="400"/>
      <c r="I15" s="401"/>
      <c r="J15" s="402"/>
      <c r="K15" s="403"/>
      <c r="L15" s="404"/>
      <c r="M15" s="403"/>
      <c r="N15" s="405"/>
      <c r="O15" s="405"/>
    </row>
    <row r="16" spans="1:15" x14ac:dyDescent="0.25">
      <c r="A16" s="406" t="s">
        <v>359</v>
      </c>
      <c r="B16" s="395">
        <f ca="1">SUM('Echéancier St Loup Naud'!AZ9:BC9)</f>
        <v>-242932.59550555685</v>
      </c>
      <c r="C16" s="396"/>
      <c r="D16" s="397"/>
      <c r="E16" s="395"/>
      <c r="F16" s="407"/>
      <c r="G16" s="399"/>
      <c r="H16" s="400"/>
      <c r="I16" s="401"/>
      <c r="J16" s="402"/>
      <c r="K16" s="403"/>
      <c r="L16" s="404"/>
      <c r="M16" s="403"/>
      <c r="N16" s="405"/>
      <c r="O16" s="405"/>
    </row>
    <row r="17" spans="1:15" x14ac:dyDescent="0.25">
      <c r="A17" s="406" t="s">
        <v>360</v>
      </c>
      <c r="B17" s="395">
        <f ca="1">SUM('Echéancier St Loup Naud'!BD9:BG9)</f>
        <v>-242932.59550555685</v>
      </c>
      <c r="C17" s="396"/>
      <c r="D17" s="397"/>
      <c r="E17" s="395"/>
      <c r="F17" s="407"/>
      <c r="G17" s="399"/>
      <c r="H17" s="400"/>
      <c r="I17" s="401"/>
      <c r="J17" s="402"/>
      <c r="K17" s="403"/>
      <c r="L17" s="404"/>
      <c r="M17" s="403"/>
      <c r="N17" s="405"/>
      <c r="O17" s="405"/>
    </row>
    <row r="18" spans="1:15" x14ac:dyDescent="0.25">
      <c r="A18" s="406" t="s">
        <v>361</v>
      </c>
      <c r="B18" s="395">
        <f ca="1">SUM('Echéancier St Loup Naud'!BH9:BK9)</f>
        <v>-242932.59550555685</v>
      </c>
      <c r="C18" s="396"/>
      <c r="D18" s="397"/>
      <c r="E18" s="395"/>
      <c r="F18" s="407"/>
      <c r="G18" s="399"/>
      <c r="H18" s="400"/>
      <c r="I18" s="401"/>
      <c r="J18" s="402"/>
      <c r="K18" s="403"/>
      <c r="L18" s="404"/>
      <c r="M18" s="403"/>
      <c r="N18" s="405"/>
      <c r="O18" s="405"/>
    </row>
    <row r="19" spans="1:15" x14ac:dyDescent="0.25">
      <c r="A19" s="406"/>
      <c r="B19" s="395"/>
      <c r="C19" s="396"/>
      <c r="D19" s="397"/>
      <c r="E19" s="395"/>
      <c r="F19" s="407"/>
      <c r="G19" s="399"/>
      <c r="H19" s="400"/>
      <c r="I19" s="401"/>
      <c r="J19" s="402"/>
      <c r="K19" s="403"/>
      <c r="L19" s="404"/>
      <c r="M19" s="403"/>
      <c r="N19" s="405"/>
      <c r="O19" s="405"/>
    </row>
    <row r="20" spans="1:15" x14ac:dyDescent="0.25">
      <c r="A20" s="406"/>
      <c r="B20" s="395"/>
      <c r="C20" s="396" t="s">
        <v>303</v>
      </c>
      <c r="D20" s="397">
        <f>'Plus-value 15 ans '!B25</f>
        <v>15403163.451225754</v>
      </c>
      <c r="E20" s="396"/>
      <c r="F20" s="407"/>
      <c r="G20" s="399"/>
      <c r="H20" s="400" t="s">
        <v>303</v>
      </c>
      <c r="I20" s="401">
        <f>'Plus-value 10 ans'!B25</f>
        <v>7302380.6578061786</v>
      </c>
      <c r="J20" s="408"/>
      <c r="K20" s="403" t="s">
        <v>304</v>
      </c>
      <c r="L20" s="404">
        <f>-L2</f>
        <v>0</v>
      </c>
      <c r="M20" s="403" t="s">
        <v>303</v>
      </c>
      <c r="N20" s="405">
        <f>'Plus-value 5 ans'!B25</f>
        <v>6731214.8312284956</v>
      </c>
      <c r="O20" s="405"/>
    </row>
    <row r="21" spans="1:15" x14ac:dyDescent="0.25">
      <c r="A21" s="406"/>
      <c r="B21" s="395"/>
      <c r="C21" s="396" t="s">
        <v>305</v>
      </c>
      <c r="D21" s="409">
        <f ca="1">'Analyse loyer triennalité 1 à 6'!BL81</f>
        <v>4676646.4505049028</v>
      </c>
      <c r="E21" s="396"/>
      <c r="F21" s="407"/>
      <c r="G21" s="399"/>
      <c r="H21" s="400" t="str">
        <f>C21</f>
        <v>Trésorerie cumulée</v>
      </c>
      <c r="I21" s="410">
        <f ca="1">'Analyse loyer triennalité 1 à 6'!AR81</f>
        <v>2756780.5656216652</v>
      </c>
      <c r="J21" s="408"/>
      <c r="K21" s="403"/>
      <c r="L21" s="404"/>
      <c r="M21" s="403" t="str">
        <f>C21</f>
        <v>Trésorerie cumulée</v>
      </c>
      <c r="N21" s="411">
        <f ca="1">'Analyse loyer triennalité 1 à 6'!X81</f>
        <v>1009292.9518207093</v>
      </c>
      <c r="O21" s="405"/>
    </row>
    <row r="22" spans="1:15" x14ac:dyDescent="0.25">
      <c r="A22" s="406"/>
      <c r="B22" s="395"/>
      <c r="C22" s="396" t="s">
        <v>70</v>
      </c>
      <c r="D22" s="397">
        <f ca="1">SUM(D20,D21)</f>
        <v>20079809.901730657</v>
      </c>
      <c r="E22" s="396"/>
      <c r="F22" s="407"/>
      <c r="G22" s="399"/>
      <c r="H22" s="400" t="str">
        <f>C22</f>
        <v>Total</v>
      </c>
      <c r="I22" s="401">
        <f ca="1">SUM(F20,I20,I21)</f>
        <v>10059161.223427843</v>
      </c>
      <c r="J22" s="408"/>
      <c r="K22" s="403"/>
      <c r="L22" s="404"/>
      <c r="M22" s="403" t="str">
        <f>C22</f>
        <v>Total</v>
      </c>
      <c r="N22" s="405">
        <f ca="1">SUM(N20:N21)</f>
        <v>7740507.7830492053</v>
      </c>
      <c r="O22" s="405"/>
    </row>
    <row r="23" spans="1:15" x14ac:dyDescent="0.25">
      <c r="A23" s="412" t="s">
        <v>306</v>
      </c>
      <c r="B23" s="413"/>
      <c r="C23" s="414"/>
      <c r="D23" s="415"/>
      <c r="E23" s="416">
        <f ca="1">IRR(D2:D21)</f>
        <v>0.1622988165445054</v>
      </c>
      <c r="F23" s="417" t="s">
        <v>307</v>
      </c>
      <c r="G23" s="418"/>
      <c r="H23" s="419"/>
      <c r="I23" s="420"/>
      <c r="J23" s="421">
        <f ca="1">IRR(I2:I21)</f>
        <v>0.12737813422214139</v>
      </c>
      <c r="K23" s="422" t="s">
        <v>307</v>
      </c>
      <c r="L23" s="423"/>
      <c r="M23" s="422"/>
      <c r="N23" s="424"/>
      <c r="O23" s="425">
        <f ca="1">IRR(N2:N21)</f>
        <v>0.12388283848836545</v>
      </c>
    </row>
  </sheetData>
  <mergeCells count="3">
    <mergeCell ref="A1:D1"/>
    <mergeCell ref="F1:I1"/>
    <mergeCell ref="K1:N1"/>
  </mergeCells>
  <phoneticPr fontId="24" type="noConversion"/>
  <pageMargins left="0.70833333333333304" right="0.70833333333333304" top="0.74861111111111101" bottom="0.74861111111111101" header="0.31527777777777799" footer="0.31527777777777799"/>
  <pageSetup paperSize="9" orientation="landscape" horizontalDpi="300" verticalDpi="300"/>
  <headerFooter>
    <oddHeader>&amp;CESPACE ERP "LA CHOCOLATERIE"&amp;R</oddHeader>
    <oddFooter>&amp;L&amp;A&amp;C&amp;9ONDINE CONSEILS&amp;6 13 rue Girardot_x005F_x000a_VILLEBON-SUR-YVETTE&amp;R24 avril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Plan de financement_input immo </vt:lpstr>
      <vt:lpstr>Etat locatif prévi</vt:lpstr>
      <vt:lpstr>Analyse loyer triennalité 1 à 6</vt:lpstr>
      <vt:lpstr>Echéancier St Loup Naud</vt:lpstr>
      <vt:lpstr>Plus-value 15 ans </vt:lpstr>
      <vt:lpstr>Plus-value 10 ans</vt:lpstr>
      <vt:lpstr>Plus-value 5 ans</vt:lpstr>
      <vt:lpstr>TRI </vt:lpstr>
      <vt:lpstr>'Etat locatif prévi'!Zone_d_impression</vt:lpstr>
      <vt:lpstr>'Plan de financement_input immo '!Zone_d_impression</vt:lpstr>
      <vt:lpstr>'Plus-value 5 ans'!Zone_d_impression</vt:lpstr>
      <vt:lpstr>'TRI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Thierry Bitsch</dc:creator>
  <dc:description/>
  <cp:lastModifiedBy>Thierry Bitsch</cp:lastModifiedBy>
  <cp:revision>1</cp:revision>
  <cp:lastPrinted>2024-06-18T09:54:06Z</cp:lastPrinted>
  <dcterms:created xsi:type="dcterms:W3CDTF">2024-02-27T15:51:44Z</dcterms:created>
  <dcterms:modified xsi:type="dcterms:W3CDTF">2026-02-16T09:57:53Z</dcterms:modified>
  <dc:language>fr-FR</dc:language>
</cp:coreProperties>
</file>